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berkeley.edu\eei-dfs\CFO\OPA\users\jeanbednarz\desktop\"/>
    </mc:Choice>
  </mc:AlternateContent>
  <bookViews>
    <workbookView xWindow="0" yWindow="0" windowWidth="28800" windowHeight="12435"/>
  </bookViews>
  <sheets>
    <sheet name="PS Funding Model" sheetId="5" r:id="rId1"/>
    <sheet name="Allowable Funds" sheetId="4" r:id="rId2"/>
    <sheet name="PS DATA3" sheetId="12" r:id="rId3"/>
    <sheet name="Sheet2" sheetId="13" r:id="rId4"/>
    <sheet name="PS DATA2 include some Apr 15 da" sheetId="11" r:id="rId5"/>
    <sheet name="PS Data" sheetId="1" state="hidden" r:id="rId6"/>
    <sheet name="VCAF PS Journal" sheetId="8" state="hidden" r:id="rId7"/>
    <sheet name="VCAF by Dept" sheetId="6" state="hidden" r:id="rId8"/>
  </sheets>
  <externalReferences>
    <externalReference r:id="rId9"/>
  </externalReferences>
  <definedNames>
    <definedName name="_xlnm._FilterDatabase" localSheetId="5" hidden="1">'PS Data'!$A$4:$H$45</definedName>
    <definedName name="_xlnm._FilterDatabase" localSheetId="7" hidden="1">'VCAF by Dept'!$A$4:$H$28</definedName>
    <definedName name="AZCSS" localSheetId="5">'PS Data'!#REF!</definedName>
    <definedName name="AZCSS" localSheetId="7">'VCAF by Dept'!#REF!</definedName>
    <definedName name="_xlnm.Print_Titles" localSheetId="5">'PS Data'!$1:$4</definedName>
    <definedName name="_xlnm.Print_Titles" localSheetId="0">'PS Funding Model'!$1:$4</definedName>
    <definedName name="_xlnm.Print_Titles" localSheetId="7">'VCAF by Dept'!$1:$4</definedName>
  </definedNames>
  <calcPr calcId="152511"/>
  <pivotCaches>
    <pivotCache cacheId="0" r:id="rId10"/>
  </pivotCaches>
</workbook>
</file>

<file path=xl/calcChain.xml><?xml version="1.0" encoding="utf-8"?>
<calcChain xmlns="http://schemas.openxmlformats.org/spreadsheetml/2006/main">
  <c r="C52" i="13" l="1"/>
  <c r="B52" i="13"/>
  <c r="D45" i="12"/>
  <c r="C45" i="12"/>
  <c r="E44" i="12"/>
  <c r="F44" i="12" s="1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7" i="12"/>
  <c r="F7" i="12" s="1"/>
  <c r="E6" i="12"/>
  <c r="F6" i="12" s="1"/>
  <c r="E5" i="12"/>
  <c r="F5" i="12" s="1"/>
  <c r="E4" i="12"/>
  <c r="F4" i="12" s="1"/>
  <c r="E3" i="12"/>
  <c r="F3" i="12" s="1"/>
  <c r="E2" i="12"/>
  <c r="F2" i="12" s="1"/>
  <c r="F45" i="11"/>
  <c r="G44" i="11"/>
  <c r="H44" i="11"/>
  <c r="G43" i="11"/>
  <c r="H43" i="11"/>
  <c r="G42" i="11"/>
  <c r="H42" i="11"/>
  <c r="G41" i="11"/>
  <c r="H41" i="11"/>
  <c r="G40" i="11"/>
  <c r="H40" i="11"/>
  <c r="G39" i="11"/>
  <c r="H39" i="11"/>
  <c r="G38" i="11"/>
  <c r="H38" i="11"/>
  <c r="G37" i="11"/>
  <c r="H37" i="11"/>
  <c r="G36" i="11"/>
  <c r="H36" i="11"/>
  <c r="G35" i="11"/>
  <c r="H35" i="11"/>
  <c r="G34" i="11"/>
  <c r="H34" i="11"/>
  <c r="G33" i="11"/>
  <c r="H33" i="11"/>
  <c r="G32" i="11"/>
  <c r="H32" i="11"/>
  <c r="G31" i="11"/>
  <c r="H31" i="11"/>
  <c r="E30" i="11"/>
  <c r="G30" i="11"/>
  <c r="H30" i="11" s="1"/>
  <c r="G29" i="11"/>
  <c r="H29" i="11" s="1"/>
  <c r="H28" i="11"/>
  <c r="G28" i="11"/>
  <c r="G27" i="11"/>
  <c r="H27" i="11" s="1"/>
  <c r="G26" i="11"/>
  <c r="H26" i="11" s="1"/>
  <c r="G25" i="11"/>
  <c r="H25" i="11" s="1"/>
  <c r="H24" i="11"/>
  <c r="G24" i="11"/>
  <c r="G23" i="11"/>
  <c r="H23" i="11" s="1"/>
  <c r="H22" i="11"/>
  <c r="G22" i="11"/>
  <c r="G21" i="11"/>
  <c r="H21" i="11" s="1"/>
  <c r="H20" i="11"/>
  <c r="G20" i="11"/>
  <c r="G19" i="11"/>
  <c r="H19" i="11" s="1"/>
  <c r="G18" i="11"/>
  <c r="H18" i="11" s="1"/>
  <c r="G17" i="11"/>
  <c r="H17" i="11" s="1"/>
  <c r="H16" i="11"/>
  <c r="G16" i="11"/>
  <c r="G15" i="11"/>
  <c r="H15" i="11" s="1"/>
  <c r="G14" i="11"/>
  <c r="H14" i="11" s="1"/>
  <c r="G13" i="11"/>
  <c r="H13" i="11" s="1"/>
  <c r="H12" i="11"/>
  <c r="G12" i="11"/>
  <c r="G11" i="11"/>
  <c r="H11" i="11" s="1"/>
  <c r="G10" i="11"/>
  <c r="H10" i="11" s="1"/>
  <c r="G9" i="11"/>
  <c r="H9" i="11" s="1"/>
  <c r="H8" i="11"/>
  <c r="G8" i="11"/>
  <c r="G7" i="11"/>
  <c r="H7" i="11" s="1"/>
  <c r="G6" i="11"/>
  <c r="G45" i="11" s="1"/>
  <c r="G5" i="11"/>
  <c r="H5" i="11" s="1"/>
  <c r="E45" i="11"/>
  <c r="C5" i="8"/>
  <c r="H5" i="8"/>
  <c r="C7" i="8"/>
  <c r="H22" i="8"/>
  <c r="C22" i="8"/>
  <c r="C21" i="8"/>
  <c r="H21" i="8" s="1"/>
  <c r="C16" i="8"/>
  <c r="H16" i="8" s="1"/>
  <c r="H13" i="8"/>
  <c r="C32" i="8"/>
  <c r="H32" i="8" s="1"/>
  <c r="C31" i="8"/>
  <c r="H31" i="8" s="1"/>
  <c r="C13" i="8"/>
  <c r="C9" i="8"/>
  <c r="H9" i="8" s="1"/>
  <c r="C8" i="8"/>
  <c r="H8" i="8" s="1"/>
  <c r="C14" i="8"/>
  <c r="H14" i="8" s="1"/>
  <c r="C12" i="8"/>
  <c r="H12" i="8" s="1"/>
  <c r="C11" i="8"/>
  <c r="H11" i="8" s="1"/>
  <c r="C15" i="8"/>
  <c r="H15" i="8" s="1"/>
  <c r="C10" i="8"/>
  <c r="H10" i="8" s="1"/>
  <c r="F37" i="1"/>
  <c r="F45" i="1" s="1"/>
  <c r="F36" i="1"/>
  <c r="E36" i="1"/>
  <c r="E37" i="1"/>
  <c r="G37" i="1" s="1"/>
  <c r="G6" i="6"/>
  <c r="H6" i="6"/>
  <c r="C18" i="8"/>
  <c r="H18" i="8"/>
  <c r="G8" i="6"/>
  <c r="C24" i="8"/>
  <c r="G9" i="6"/>
  <c r="C26" i="8"/>
  <c r="H8" i="6"/>
  <c r="H24" i="8"/>
  <c r="H9" i="6"/>
  <c r="H26" i="8"/>
  <c r="G10" i="6"/>
  <c r="H10" i="6"/>
  <c r="C28" i="8"/>
  <c r="H28" i="8"/>
  <c r="G11" i="6"/>
  <c r="C30" i="8"/>
  <c r="G12" i="6"/>
  <c r="C34" i="8"/>
  <c r="H34" i="8" s="1"/>
  <c r="G5" i="6"/>
  <c r="G13" i="6" s="1"/>
  <c r="G7" i="6"/>
  <c r="C20" i="8"/>
  <c r="H12" i="6"/>
  <c r="G44" i="1"/>
  <c r="H44" i="1"/>
  <c r="G43" i="1"/>
  <c r="H43" i="1"/>
  <c r="G42" i="1"/>
  <c r="H42" i="1"/>
  <c r="G41" i="1"/>
  <c r="H41" i="1"/>
  <c r="G40" i="1"/>
  <c r="H40" i="1"/>
  <c r="G39" i="1"/>
  <c r="H39" i="1"/>
  <c r="G35" i="1"/>
  <c r="H35" i="1"/>
  <c r="G34" i="1"/>
  <c r="H34" i="1"/>
  <c r="G33" i="1"/>
  <c r="H33" i="1"/>
  <c r="G32" i="1"/>
  <c r="H32" i="1"/>
  <c r="G31" i="1"/>
  <c r="H31" i="1"/>
  <c r="G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  <c r="G7" i="1"/>
  <c r="H7" i="1"/>
  <c r="G6" i="1"/>
  <c r="H6" i="1"/>
  <c r="G5" i="1"/>
  <c r="H5" i="1"/>
  <c r="H11" i="6"/>
  <c r="H7" i="6"/>
  <c r="E38" i="1"/>
  <c r="G38" i="1" s="1"/>
  <c r="H38" i="1" s="1"/>
  <c r="G36" i="1"/>
  <c r="H36" i="1"/>
  <c r="H39" i="5"/>
  <c r="H35" i="5"/>
  <c r="H46" i="5"/>
  <c r="H42" i="5"/>
  <c r="H52" i="5"/>
  <c r="H6" i="5"/>
  <c r="H23" i="5"/>
  <c r="H22" i="5"/>
  <c r="H30" i="5"/>
  <c r="H11" i="5"/>
  <c r="H10" i="5"/>
  <c r="H33" i="5"/>
  <c r="H29" i="5"/>
  <c r="H38" i="5"/>
  <c r="H34" i="5"/>
  <c r="H45" i="5"/>
  <c r="H41" i="5"/>
  <c r="H51" i="5"/>
  <c r="H9" i="5"/>
  <c r="H18" i="5"/>
  <c r="H17" i="5"/>
  <c r="H25" i="5"/>
  <c r="H7" i="5"/>
  <c r="H48" i="5"/>
  <c r="H44" i="5"/>
  <c r="H49" i="5"/>
  <c r="H14" i="5"/>
  <c r="H32" i="5"/>
  <c r="H12" i="5"/>
  <c r="H37" i="5"/>
  <c r="H36" i="5"/>
  <c r="H47" i="5"/>
  <c r="H43" i="5"/>
  <c r="H53" i="5"/>
  <c r="H13" i="5"/>
  <c r="H24" i="5"/>
  <c r="H28" i="5"/>
  <c r="H26" i="5"/>
  <c r="H8" i="5"/>
  <c r="H16" i="5"/>
  <c r="H19" i="5"/>
  <c r="H31" i="5"/>
  <c r="H21" i="5"/>
  <c r="H54" i="5" l="1"/>
  <c r="F45" i="12"/>
  <c r="H45" i="11"/>
  <c r="H37" i="1"/>
  <c r="H45" i="1" s="1"/>
  <c r="G45" i="1"/>
  <c r="E45" i="1"/>
  <c r="H5" i="6"/>
  <c r="H13" i="6" s="1"/>
  <c r="H6" i="11"/>
  <c r="E45" i="12"/>
</calcChain>
</file>

<file path=xl/sharedStrings.xml><?xml version="1.0" encoding="utf-8"?>
<sst xmlns="http://schemas.openxmlformats.org/spreadsheetml/2006/main" count="878" uniqueCount="255">
  <si>
    <t>Productivity Suite Census Data</t>
  </si>
  <si>
    <t>Control Unit Node</t>
  </si>
  <si>
    <t>Control Unit Description</t>
  </si>
  <si>
    <t>Division Node</t>
  </si>
  <si>
    <t>Division Description</t>
  </si>
  <si>
    <t>Average Census Count</t>
  </si>
  <si>
    <t>Chancellor</t>
  </si>
  <si>
    <t>CHANL</t>
  </si>
  <si>
    <t>COLLS</t>
  </si>
  <si>
    <t>College of Letters &amp; Science</t>
  </si>
  <si>
    <t>COL1S</t>
  </si>
  <si>
    <t>LS1BS</t>
  </si>
  <si>
    <t>L&amp;S Biological Sciences</t>
  </si>
  <si>
    <t>LS1HU</t>
  </si>
  <si>
    <t>L&amp;S Arts &amp; Humanities</t>
  </si>
  <si>
    <t>LS1PS</t>
  </si>
  <si>
    <t>L&amp;S Math &amp; Physical Science</t>
  </si>
  <si>
    <t>LS1SS</t>
  </si>
  <si>
    <t>L&amp;S Social Sciences</t>
  </si>
  <si>
    <t>LS1UI</t>
  </si>
  <si>
    <t>L&amp;S Undergraduate Division</t>
  </si>
  <si>
    <t>EVCP2</t>
  </si>
  <si>
    <t>Execu Vice Chanc &amp; Provost</t>
  </si>
  <si>
    <t>ACADS</t>
  </si>
  <si>
    <t>Academic Senate</t>
  </si>
  <si>
    <t>BOALT</t>
  </si>
  <si>
    <t>Boalt School of Law</t>
  </si>
  <si>
    <t>CALPF</t>
  </si>
  <si>
    <t>Cal Performances/SMA</t>
  </si>
  <si>
    <t>CENVD</t>
  </si>
  <si>
    <t>Col of Environmental Design</t>
  </si>
  <si>
    <t>CO1NR</t>
  </si>
  <si>
    <t>College of Natural Resources</t>
  </si>
  <si>
    <t>COCHM</t>
  </si>
  <si>
    <t>COENG</t>
  </si>
  <si>
    <t>College of Engineering</t>
  </si>
  <si>
    <t>EVCP3</t>
  </si>
  <si>
    <t>GSCPP</t>
  </si>
  <si>
    <t>Goldman School of Public Policy</t>
  </si>
  <si>
    <t>HAAS3</t>
  </si>
  <si>
    <t>Haas School of Business</t>
  </si>
  <si>
    <t>MU1FA</t>
  </si>
  <si>
    <t>Art Mus &amp; Pacific Film Archive</t>
  </si>
  <si>
    <t>OT1VP</t>
  </si>
  <si>
    <t>SC1OP</t>
  </si>
  <si>
    <t>School of Optometry</t>
  </si>
  <si>
    <t>SC1PH</t>
  </si>
  <si>
    <t>School of Public Health</t>
  </si>
  <si>
    <t>SCEDU</t>
  </si>
  <si>
    <t>Graduate School of Education</t>
  </si>
  <si>
    <t>SCHSW</t>
  </si>
  <si>
    <t>School of Social Welfare</t>
  </si>
  <si>
    <t>SCJOU</t>
  </si>
  <si>
    <t>School of Journalism</t>
  </si>
  <si>
    <t>SCSIM</t>
  </si>
  <si>
    <t>School of Information</t>
  </si>
  <si>
    <t>UCLIB</t>
  </si>
  <si>
    <t>VPAPF</t>
  </si>
  <si>
    <t>VR1GD</t>
  </si>
  <si>
    <t>Graduate Division</t>
  </si>
  <si>
    <t>VCBAS</t>
  </si>
  <si>
    <t>VC Administration &amp; Finance</t>
  </si>
  <si>
    <t>BSVCB</t>
  </si>
  <si>
    <t>VCCPD</t>
  </si>
  <si>
    <t>VCEI3</t>
  </si>
  <si>
    <t>VC Equity &amp; Inclusion Div</t>
  </si>
  <si>
    <t>VCRES</t>
  </si>
  <si>
    <t>Research, Policy, Planning &amp; Adm</t>
  </si>
  <si>
    <t>VCRAD</t>
  </si>
  <si>
    <t>VC Res Administrative Units</t>
  </si>
  <si>
    <t>VCRMS</t>
  </si>
  <si>
    <t>VC Res Museum &amp; Field Stations</t>
  </si>
  <si>
    <t>VCRVC</t>
  </si>
  <si>
    <t>VCUGA</t>
  </si>
  <si>
    <t>UCRLO</t>
  </si>
  <si>
    <t>College of Chemistry</t>
  </si>
  <si>
    <t>Census Count (excludes students and affiliates)</t>
  </si>
  <si>
    <t>Fund</t>
  </si>
  <si>
    <t>10002</t>
  </si>
  <si>
    <t>10160</t>
  </si>
  <si>
    <t>11395</t>
  </si>
  <si>
    <t>11620</t>
  </si>
  <si>
    <t>10135</t>
  </si>
  <si>
    <t>11240</t>
  </si>
  <si>
    <t>11780</t>
  </si>
  <si>
    <t>14065</t>
  </si>
  <si>
    <t>15250</t>
  </si>
  <si>
    <t>25327</t>
  </si>
  <si>
    <t>From Dept ID</t>
  </si>
  <si>
    <t>To Dept ID</t>
  </si>
  <si>
    <t>Fund (Select from Drop List)</t>
  </si>
  <si>
    <t>Journal Amt</t>
  </si>
  <si>
    <t>Account</t>
  </si>
  <si>
    <t>Account Description</t>
  </si>
  <si>
    <t xml:space="preserve"> Fund Group</t>
  </si>
  <si>
    <t>Fund Group Rollup</t>
  </si>
  <si>
    <t>Fund Group Desc</t>
  </si>
  <si>
    <t>F2</t>
  </si>
  <si>
    <t>F2 Desc</t>
  </si>
  <si>
    <t>Fund Desc</t>
  </si>
  <si>
    <t xml:space="preserve">Fund </t>
  </si>
  <si>
    <t>General Funds</t>
  </si>
  <si>
    <t>BO_State_Appro</t>
  </si>
  <si>
    <t>Base Ops State Appropriations</t>
  </si>
  <si>
    <t>GENERAL FUNDS</t>
  </si>
  <si>
    <t>19900 - GENERAL FUNDS</t>
  </si>
  <si>
    <t>BO_ICR</t>
  </si>
  <si>
    <t>Base Ops Indirect Cost Recover</t>
  </si>
  <si>
    <t>UC General Fd/Federal Overhead</t>
  </si>
  <si>
    <t>19933 - UC General Fd/Federal Overhead</t>
  </si>
  <si>
    <t>Student Tuition &amp; Fees</t>
  </si>
  <si>
    <t>Educational Fees</t>
  </si>
  <si>
    <t>BO_Student_Fees</t>
  </si>
  <si>
    <t>Base Ops Student Fees</t>
  </si>
  <si>
    <t>Tuition</t>
  </si>
  <si>
    <t>20095 - Tuition</t>
  </si>
  <si>
    <t>Sales &amp; Service</t>
  </si>
  <si>
    <t>Other</t>
  </si>
  <si>
    <t>BO_Oth_Funds</t>
  </si>
  <si>
    <t>Base Ops Other Funds</t>
  </si>
  <si>
    <t>60050 - Generic Revenue-Edu Activity</t>
  </si>
  <si>
    <t>CAMPUS FUND</t>
  </si>
  <si>
    <t>65900 - CAMPUS FUND</t>
  </si>
  <si>
    <t>Other Sources</t>
  </si>
  <si>
    <t>67950 - DEVELOP OFC CLEARING FD</t>
  </si>
  <si>
    <t>69480 - UHS MISC INCOME</t>
  </si>
  <si>
    <t>Unrestricted Misc Income</t>
  </si>
  <si>
    <t>69799 - Unrestricted Misc Income</t>
  </si>
  <si>
    <t>Row Labels</t>
  </si>
  <si>
    <t>Grand Total</t>
  </si>
  <si>
    <t>Sum of Average Census Count</t>
  </si>
  <si>
    <t>Central Assessment</t>
  </si>
  <si>
    <t>00001</t>
  </si>
  <si>
    <t>Productivity Suite Funding Model</t>
  </si>
  <si>
    <t>12405</t>
  </si>
  <si>
    <t>12965</t>
  </si>
  <si>
    <t>12085</t>
  </si>
  <si>
    <t>13460</t>
  </si>
  <si>
    <t>14100</t>
  </si>
  <si>
    <t>25965</t>
  </si>
  <si>
    <t>19515</t>
  </si>
  <si>
    <t>10583</t>
  </si>
  <si>
    <t>30740</t>
  </si>
  <si>
    <t>11005</t>
  </si>
  <si>
    <t>Academic Core</t>
  </si>
  <si>
    <t>Office for the Faculty</t>
  </si>
  <si>
    <t>SSALL</t>
  </si>
  <si>
    <t>Summer Sesssn, Study Abrd, OLLI</t>
  </si>
  <si>
    <t>UNEX3</t>
  </si>
  <si>
    <t>University Extension</t>
  </si>
  <si>
    <t>20300 - UNEX Fee Income</t>
  </si>
  <si>
    <t>University Relations</t>
  </si>
  <si>
    <t>Administration &amp; Finance</t>
  </si>
  <si>
    <t>Real Estate</t>
  </si>
  <si>
    <t>Undergrade Education</t>
  </si>
  <si>
    <t>Academic Research Units</t>
  </si>
  <si>
    <t>Student Affairs</t>
  </si>
  <si>
    <t>L&amp;S Core</t>
  </si>
  <si>
    <t>UC Library</t>
  </si>
  <si>
    <t>SAFP3</t>
  </si>
  <si>
    <t>Strategic Acad and Fac Plan</t>
  </si>
  <si>
    <t>FY 15-16</t>
  </si>
  <si>
    <t>L4 Department Node Desc</t>
  </si>
  <si>
    <t>L4 Dept Node</t>
  </si>
  <si>
    <t>AVCFO</t>
  </si>
  <si>
    <t>Finance</t>
  </si>
  <si>
    <t>AZCSS</t>
  </si>
  <si>
    <t>Shared Services</t>
  </si>
  <si>
    <t>BSAVC</t>
  </si>
  <si>
    <t>Business &amp; Administrative Svcs</t>
  </si>
  <si>
    <t>BSHUM</t>
  </si>
  <si>
    <t>Human Resources Administration</t>
  </si>
  <si>
    <t>LMOIH</t>
  </si>
  <si>
    <t>International House</t>
  </si>
  <si>
    <t>PBBPS</t>
  </si>
  <si>
    <t>Business Partnership and Svc</t>
  </si>
  <si>
    <t>VCAFO</t>
  </si>
  <si>
    <t>Admin &amp; Finance Office</t>
  </si>
  <si>
    <t>VRIST</t>
  </si>
  <si>
    <t>Info Services &amp; Technology</t>
  </si>
  <si>
    <t>Charge per FTE ($64)</t>
  </si>
  <si>
    <t>Sum of Charge per FTE ($64)</t>
  </si>
  <si>
    <t>VCAF</t>
  </si>
  <si>
    <t>13330</t>
  </si>
  <si>
    <t>11870</t>
  </si>
  <si>
    <t>13688</t>
  </si>
  <si>
    <t>14166</t>
  </si>
  <si>
    <t>15361</t>
  </si>
  <si>
    <t>29850</t>
  </si>
  <si>
    <t>30746</t>
  </si>
  <si>
    <t>31221</t>
  </si>
  <si>
    <t>17630</t>
  </si>
  <si>
    <t>15213</t>
  </si>
  <si>
    <t>23151</t>
  </si>
  <si>
    <t>BAS Immediate Office</t>
  </si>
  <si>
    <t>Div - Sweeps/Withdrawals</t>
  </si>
  <si>
    <t>Finance Immediate Office</t>
  </si>
  <si>
    <t>Controller's Office</t>
  </si>
  <si>
    <t>OE Program Ops</t>
  </si>
  <si>
    <t>Planning &amp; Analysis</t>
  </si>
  <si>
    <t>Prop Equip Mgmt/Distrib</t>
  </si>
  <si>
    <t>Space and Capital Resrcs</t>
  </si>
  <si>
    <t>Adm &amp; Finance Admin Ops</t>
  </si>
  <si>
    <t>Dept - Other Internal Xfr</t>
  </si>
  <si>
    <t>Productivity Suite Funding Model - VCAF</t>
  </si>
  <si>
    <t>CAMSU</t>
  </si>
  <si>
    <t>Campus Support</t>
  </si>
  <si>
    <t>ATHLE</t>
  </si>
  <si>
    <t>Athletics</t>
  </si>
  <si>
    <t>26215</t>
  </si>
  <si>
    <t>Finance Communications</t>
  </si>
  <si>
    <t>Procurement Services</t>
  </si>
  <si>
    <t>Ofc of Mrkt &amp; Bus Outrch</t>
  </si>
  <si>
    <t>University Health</t>
  </si>
  <si>
    <t>University Police</t>
  </si>
  <si>
    <t>15787</t>
  </si>
  <si>
    <t>31720</t>
  </si>
  <si>
    <t>15691</t>
  </si>
  <si>
    <t>14238</t>
  </si>
  <si>
    <t>2016 Apr</t>
  </si>
  <si>
    <t>2016 Oct</t>
  </si>
  <si>
    <t>Other Academic</t>
  </si>
  <si>
    <t>Cal Performances_SMA</t>
  </si>
  <si>
    <t>Campus Support Core</t>
  </si>
  <si>
    <t>VP Agriculture&amp; Natural Resour</t>
  </si>
  <si>
    <t>VP Divisionwide Prov &amp; Expense</t>
  </si>
  <si>
    <t>Goldman Sch of Public Policy</t>
  </si>
  <si>
    <t>L&amp;S Math &amp; Physical Sci</t>
  </si>
  <si>
    <t>Summer Sessn, Study Abrd, OLLI</t>
  </si>
  <si>
    <t>VP Research - MRUs</t>
  </si>
  <si>
    <t>Univ Developmt and Alumni Rel</t>
  </si>
  <si>
    <t>Equity &amp; Inclusion Div</t>
  </si>
  <si>
    <t>VCRAC</t>
  </si>
  <si>
    <t>VCRAU</t>
  </si>
  <si>
    <t>Research Administrative Units</t>
  </si>
  <si>
    <t>Res Museum &amp; Field Stations</t>
  </si>
  <si>
    <t>Undergraduate Education</t>
  </si>
  <si>
    <t>Univ Development and Alumni Relations</t>
  </si>
  <si>
    <t>COLLE</t>
  </si>
  <si>
    <t>Colleges</t>
  </si>
  <si>
    <t>Letters &amp; Science</t>
  </si>
  <si>
    <t>OACAD</t>
  </si>
  <si>
    <t>Office for Faculty</t>
  </si>
  <si>
    <t>SCHOL</t>
  </si>
  <si>
    <t>Schools</t>
  </si>
  <si>
    <t>Research, Policy, Planng &amp; Adm</t>
  </si>
  <si>
    <t>FY 16-17</t>
  </si>
  <si>
    <t>14317</t>
  </si>
  <si>
    <t>Campus General Funds</t>
  </si>
  <si>
    <t>Federal Contract-Grant Overhead</t>
  </si>
  <si>
    <t>Nonresident Supp Tuition</t>
  </si>
  <si>
    <t>19942 - Nonresident Supp Tuition</t>
  </si>
  <si>
    <t>68600 - Campus General Funds</t>
  </si>
  <si>
    <t>69750 - Federal Contract-Grant Overhead</t>
  </si>
  <si>
    <t>Federal Contracts &amp; Grants--Off-the-Top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</si>
</sst>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\-yy;@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42" fontId="0" fillId="0" borderId="0" xfId="0" applyNumberFormat="1"/>
    <xf numFmtId="42" fontId="1" fillId="0" borderId="1" xfId="0" applyNumberFormat="1" applyFont="1" applyBorder="1" applyAlignment="1">
      <alignment horizontal="center" wrapText="1"/>
    </xf>
    <xf numFmtId="42" fontId="0" fillId="0" borderId="2" xfId="0" applyNumberFormat="1" applyBorder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4" borderId="0" xfId="0" applyFill="1" applyAlignment="1">
      <alignment horizontal="left"/>
    </xf>
    <xf numFmtId="42" fontId="0" fillId="4" borderId="0" xfId="0" applyNumberFormat="1" applyFill="1"/>
    <xf numFmtId="49" fontId="5" fillId="2" borderId="0" xfId="0" applyNumberFormat="1" applyFont="1" applyFill="1" applyBorder="1" applyAlignment="1">
      <alignment horizontal="center"/>
    </xf>
    <xf numFmtId="0" fontId="5" fillId="2" borderId="8" xfId="0" applyFont="1" applyFill="1" applyBorder="1"/>
    <xf numFmtId="49" fontId="5" fillId="2" borderId="1" xfId="0" applyNumberFormat="1" applyFont="1" applyFill="1" applyBorder="1" applyAlignment="1">
      <alignment horizontal="center"/>
    </xf>
    <xf numFmtId="0" fontId="5" fillId="2" borderId="10" xfId="0" applyFont="1" applyFill="1" applyBorder="1"/>
    <xf numFmtId="49" fontId="4" fillId="0" borderId="13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 wrapText="1"/>
    </xf>
    <xf numFmtId="49" fontId="4" fillId="5" borderId="5" xfId="0" applyNumberFormat="1" applyFont="1" applyFill="1" applyBorder="1" applyAlignment="1">
      <alignment horizontal="center" wrapText="1"/>
    </xf>
    <xf numFmtId="42" fontId="5" fillId="0" borderId="11" xfId="0" applyNumberFormat="1" applyFont="1" applyBorder="1"/>
    <xf numFmtId="0" fontId="5" fillId="0" borderId="12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2" fontId="5" fillId="0" borderId="0" xfId="0" applyNumberFormat="1" applyFont="1" applyFill="1" applyBorder="1"/>
    <xf numFmtId="42" fontId="5" fillId="0" borderId="0" xfId="0" applyNumberFormat="1" applyFont="1" applyBorder="1"/>
    <xf numFmtId="0" fontId="5" fillId="0" borderId="8" xfId="0" applyFont="1" applyBorder="1"/>
    <xf numFmtId="49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42" fontId="5" fillId="0" borderId="3" xfId="0" applyNumberFormat="1" applyFont="1" applyFill="1" applyBorder="1"/>
    <xf numFmtId="0" fontId="5" fillId="0" borderId="0" xfId="0" applyFont="1"/>
    <xf numFmtId="49" fontId="5" fillId="2" borderId="0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0" xfId="0" applyFont="1" applyFill="1" applyBorder="1"/>
    <xf numFmtId="42" fontId="5" fillId="3" borderId="0" xfId="0" applyNumberFormat="1" applyFont="1" applyFill="1" applyBorder="1"/>
    <xf numFmtId="0" fontId="5" fillId="3" borderId="1" xfId="0" applyFont="1" applyFill="1" applyBorder="1"/>
    <xf numFmtId="42" fontId="5" fillId="3" borderId="1" xfId="0" applyNumberFormat="1" applyFont="1" applyFill="1" applyBorder="1"/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wrapText="1"/>
    </xf>
    <xf numFmtId="42" fontId="0" fillId="0" borderId="0" xfId="0" applyNumberFormat="1" applyAlignment="1">
      <alignment horizontal="center" wrapText="1"/>
    </xf>
    <xf numFmtId="2" fontId="4" fillId="5" borderId="5" xfId="0" applyNumberFormat="1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42" fontId="0" fillId="0" borderId="0" xfId="0" applyNumberFormat="1" applyFill="1"/>
    <xf numFmtId="3" fontId="0" fillId="0" borderId="0" xfId="0" applyNumberFormat="1"/>
    <xf numFmtId="3" fontId="1" fillId="0" borderId="0" xfId="0" applyNumberFormat="1" applyFont="1" applyBorder="1" applyAlignment="1">
      <alignment horizontal="centerContinuous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1" fontId="0" fillId="0" borderId="0" xfId="0" applyNumberFormat="1"/>
    <xf numFmtId="41" fontId="0" fillId="0" borderId="2" xfId="0" applyNumberFormat="1" applyBorder="1"/>
    <xf numFmtId="41" fontId="0" fillId="4" borderId="0" xfId="0" applyNumberFormat="1" applyFill="1"/>
    <xf numFmtId="41" fontId="0" fillId="0" borderId="14" xfId="0" applyNumberFormat="1" applyBorder="1"/>
    <xf numFmtId="42" fontId="0" fillId="0" borderId="14" xfId="0" applyNumberFormat="1" applyBorder="1"/>
    <xf numFmtId="4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2" fontId="0" fillId="0" borderId="0" xfId="0" applyNumberForma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10" xfId="0" applyBorder="1"/>
    <xf numFmtId="42" fontId="0" fillId="3" borderId="11" xfId="0" applyNumberFormat="1" applyFill="1" applyBorder="1"/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2" fontId="0" fillId="3" borderId="0" xfId="0" applyNumberFormat="1" applyFill="1" applyBorder="1"/>
    <xf numFmtId="0" fontId="0" fillId="0" borderId="7" xfId="0" applyBorder="1"/>
    <xf numFmtId="3" fontId="0" fillId="0" borderId="0" xfId="0" applyNumberFormat="1" applyBorder="1"/>
    <xf numFmtId="42" fontId="0" fillId="0" borderId="8" xfId="0" applyNumberFormat="1" applyBorder="1"/>
    <xf numFmtId="0" fontId="0" fillId="0" borderId="7" xfId="0" applyBorder="1" applyAlignment="1">
      <alignment horizontal="right"/>
    </xf>
    <xf numFmtId="0" fontId="0" fillId="0" borderId="9" xfId="0" applyBorder="1"/>
    <xf numFmtId="3" fontId="0" fillId="0" borderId="1" xfId="0" applyNumberFormat="1" applyBorder="1"/>
    <xf numFmtId="42" fontId="0" fillId="0" borderId="10" xfId="0" applyNumberFormat="1" applyBorder="1"/>
    <xf numFmtId="0" fontId="1" fillId="5" borderId="4" xfId="0" applyFont="1" applyFill="1" applyBorder="1" applyAlignment="1">
      <alignment horizontal="center" wrapText="1"/>
    </xf>
    <xf numFmtId="3" fontId="1" fillId="5" borderId="5" xfId="0" applyNumberFormat="1" applyFont="1" applyFill="1" applyBorder="1" applyAlignment="1">
      <alignment horizontal="center" wrapText="1"/>
    </xf>
    <xf numFmtId="42" fontId="1" fillId="5" borderId="6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/>
    <xf numFmtId="42" fontId="0" fillId="0" borderId="1" xfId="0" applyNumberFormat="1" applyBorder="1"/>
    <xf numFmtId="41" fontId="0" fillId="0" borderId="0" xfId="0" applyNumberFormat="1" applyFill="1"/>
    <xf numFmtId="3" fontId="0" fillId="0" borderId="0" xfId="0" applyNumberFormat="1" applyAlignment="1">
      <alignment horizontal="centerContinuous" wrapText="1"/>
    </xf>
    <xf numFmtId="3" fontId="0" fillId="0" borderId="2" xfId="0" applyNumberFormat="1" applyBorder="1"/>
    <xf numFmtId="49" fontId="4" fillId="0" borderId="7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5" fontId="0" fillId="0" borderId="0" xfId="0" applyNumberFormat="1"/>
    <xf numFmtId="165" fontId="0" fillId="0" borderId="2" xfId="0" applyNumberFormat="1" applyBorder="1"/>
  </cellXfs>
  <cellStyles count="2">
    <cellStyle name="Currency" xfId="1" builtinId="4"/>
    <cellStyle name="Normal" xfId="0" builtinId="0"/>
  </cellStyles>
  <dxfs count="11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33" formatCode="_(* #,##0_);_(* \(#,##0\);_(* &quot;-&quot;_);_(@_)"/>
    </dxf>
    <dxf>
      <alignment horizontal="center" wrapText="1" readingOrder="0"/>
    </dxf>
    <dxf>
      <alignment horizontal="center" wrapText="1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resch\Documents\Productivity%20Suite\Campus%20Funding%20Model\FY15-16\FY1516%20%20PS%20Assessment%20Census%20DatavFinal%20with%20changed%20chartstr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Funding Model"/>
      <sheetName val="Allowable Funds"/>
      <sheetName val="PS Data"/>
      <sheetName val="VCAF PS Journal"/>
      <sheetName val="VCAF by Dept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 A. Kresch" refreshedDate="42823.478902662035" createdVersion="5" refreshedVersion="5" minRefreshableVersion="3" recordCount="43">
  <cacheSource type="worksheet">
    <worksheetSource ref="A1:F44" sheet="PS DATA3"/>
  </cacheSource>
  <cacheFields count="6">
    <cacheField name="Control Unit Description" numFmtId="0">
      <sharedItems count="7">
        <s v="Campus Support"/>
        <s v="Colleges"/>
        <s v="Letters &amp; Science"/>
        <s v="Other Academic"/>
        <s v="Schools"/>
        <s v="Research, Policy, Planng &amp; Adm"/>
        <s v="VP Research - MRUs" u="1"/>
      </sharedItems>
    </cacheField>
    <cacheField name="Division Description" numFmtId="0">
      <sharedItems count="44">
        <s v="Administration &amp; Finance"/>
        <s v="Art Mus &amp; Pacific Film Archive"/>
        <s v="Athletics"/>
        <s v="Cal Performances_SMA"/>
        <s v="Campus Support Core"/>
        <s v="Equity &amp; Inclusion Div"/>
        <s v="Real Estate"/>
        <s v="Student Affairs"/>
        <s v="Univ Developmt and Alumni Rel"/>
        <s v="Col of Environmental Design"/>
        <s v="College of Chemistry"/>
        <s v="College of Engineering"/>
        <s v="College of Natural Resources"/>
        <s v="L&amp;S Arts &amp; Humanities"/>
        <s v="L&amp;S Biological Sciences"/>
        <s v="L&amp;S Core"/>
        <s v="L&amp;S Math &amp; Physical Sci"/>
        <s v="L&amp;S Social Sciences"/>
        <s v="L&amp;S Undergraduate Division"/>
        <s v="Academic Core"/>
        <s v="Academic Senate"/>
        <s v="Graduate Division"/>
        <s v="Office for the Faculty"/>
        <s v="Strategic Acad and Fac Plan"/>
        <s v="Summer Sessn, Study Abrd, OLLI"/>
        <s v="UC Library"/>
        <s v="Undergraduate Education"/>
        <s v="University Extension"/>
        <s v="Academic Research Units"/>
        <s v="Res Museum &amp; Field Stations"/>
        <s v="Research Administrative Units"/>
        <s v="Boalt School of Law"/>
        <s v="Goldman Sch of Public Policy"/>
        <s v="Graduate School of Education"/>
        <s v="Haas School of Business"/>
        <s v="School of Information"/>
        <s v="School of Journalism"/>
        <s v="School of Optometry"/>
        <s v="School of Public Health"/>
        <s v="School of Social Welfare"/>
        <s v="VP Research - MRUs"/>
        <s v="VP Agriculture&amp; Natural Resour"/>
        <s v="VP Divisionwide Prov &amp; Expense"/>
        <s v="Research, Policy, Planng &amp; Adm" u="1"/>
      </sharedItems>
    </cacheField>
    <cacheField name="Apr-16" numFmtId="0">
      <sharedItems containsSemiMixedTypes="0" containsString="0" containsNumber="1" containsInteger="1" minValue="1" maxValue="2024"/>
    </cacheField>
    <cacheField name="Oct-16" numFmtId="0">
      <sharedItems containsSemiMixedTypes="0" containsString="0" containsNumber="1" containsInteger="1" minValue="1" maxValue="1854"/>
    </cacheField>
    <cacheField name="Average Census Count" numFmtId="3">
      <sharedItems containsSemiMixedTypes="0" containsString="0" containsNumber="1" minValue="1" maxValue="1939"/>
    </cacheField>
    <cacheField name="Charge per FTE ($64)" numFmtId="165">
      <sharedItems containsSemiMixedTypes="0" containsString="0" containsNumber="1" containsInteger="1" minValue="64" maxValue="1240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x v="0"/>
    <n v="2024"/>
    <n v="1854"/>
    <n v="1939"/>
    <n v="124096"/>
  </r>
  <r>
    <x v="0"/>
    <x v="1"/>
    <n v="68"/>
    <n v="75"/>
    <n v="71.5"/>
    <n v="4576"/>
  </r>
  <r>
    <x v="0"/>
    <x v="2"/>
    <n v="287"/>
    <n v="298"/>
    <n v="292.5"/>
    <n v="18720"/>
  </r>
  <r>
    <x v="0"/>
    <x v="3"/>
    <n v="128"/>
    <n v="134"/>
    <n v="131"/>
    <n v="8384"/>
  </r>
  <r>
    <x v="0"/>
    <x v="4"/>
    <n v="100"/>
    <n v="98"/>
    <n v="99"/>
    <n v="6336"/>
  </r>
  <r>
    <x v="0"/>
    <x v="5"/>
    <n v="239"/>
    <n v="248"/>
    <n v="243.5"/>
    <n v="15584"/>
  </r>
  <r>
    <x v="0"/>
    <x v="6"/>
    <n v="552"/>
    <n v="598"/>
    <n v="575"/>
    <n v="36800"/>
  </r>
  <r>
    <x v="0"/>
    <x v="7"/>
    <n v="1493"/>
    <n v="1469"/>
    <n v="1481"/>
    <n v="94784"/>
  </r>
  <r>
    <x v="0"/>
    <x v="8"/>
    <n v="246"/>
    <n v="263"/>
    <n v="254.5"/>
    <n v="16288"/>
  </r>
  <r>
    <x v="1"/>
    <x v="9"/>
    <n v="201"/>
    <n v="224"/>
    <n v="212.5"/>
    <n v="13600"/>
  </r>
  <r>
    <x v="1"/>
    <x v="10"/>
    <n v="383"/>
    <n v="364"/>
    <n v="373.5"/>
    <n v="23904"/>
  </r>
  <r>
    <x v="1"/>
    <x v="11"/>
    <n v="1179"/>
    <n v="1143"/>
    <n v="1161"/>
    <n v="74304"/>
  </r>
  <r>
    <x v="1"/>
    <x v="12"/>
    <n v="516"/>
    <n v="542"/>
    <n v="529"/>
    <n v="33856"/>
  </r>
  <r>
    <x v="2"/>
    <x v="13"/>
    <n v="886"/>
    <n v="859"/>
    <n v="872.5"/>
    <n v="55840"/>
  </r>
  <r>
    <x v="2"/>
    <x v="14"/>
    <n v="643"/>
    <n v="647"/>
    <n v="645"/>
    <n v="41280"/>
  </r>
  <r>
    <x v="2"/>
    <x v="15"/>
    <n v="56"/>
    <n v="58"/>
    <n v="57"/>
    <n v="3648"/>
  </r>
  <r>
    <x v="2"/>
    <x v="16"/>
    <n v="614"/>
    <n v="622"/>
    <n v="618"/>
    <n v="39552"/>
  </r>
  <r>
    <x v="2"/>
    <x v="17"/>
    <n v="815"/>
    <n v="823"/>
    <n v="819"/>
    <n v="52416"/>
  </r>
  <r>
    <x v="2"/>
    <x v="18"/>
    <n v="142"/>
    <n v="137"/>
    <n v="139.5"/>
    <n v="8928"/>
  </r>
  <r>
    <x v="3"/>
    <x v="19"/>
    <n v="20"/>
    <n v="20"/>
    <n v="20"/>
    <n v="1280"/>
  </r>
  <r>
    <x v="3"/>
    <x v="20"/>
    <n v="12"/>
    <n v="11"/>
    <n v="11.5"/>
    <n v="736"/>
  </r>
  <r>
    <x v="3"/>
    <x v="21"/>
    <n v="56"/>
    <n v="46"/>
    <n v="51"/>
    <n v="3264"/>
  </r>
  <r>
    <x v="3"/>
    <x v="22"/>
    <n v="18"/>
    <n v="19"/>
    <n v="18.5"/>
    <n v="1184"/>
  </r>
  <r>
    <x v="3"/>
    <x v="23"/>
    <n v="11"/>
    <n v="11"/>
    <n v="11"/>
    <n v="704"/>
  </r>
  <r>
    <x v="3"/>
    <x v="24"/>
    <n v="63"/>
    <n v="63"/>
    <n v="63"/>
    <n v="4032"/>
  </r>
  <r>
    <x v="3"/>
    <x v="25"/>
    <n v="354"/>
    <n v="366"/>
    <n v="360"/>
    <n v="23040"/>
  </r>
  <r>
    <x v="3"/>
    <x v="26"/>
    <n v="171"/>
    <n v="161"/>
    <n v="166"/>
    <n v="10624"/>
  </r>
  <r>
    <x v="3"/>
    <x v="27"/>
    <n v="1025"/>
    <n v="1010"/>
    <n v="1017.5"/>
    <n v="65120"/>
  </r>
  <r>
    <x v="3"/>
    <x v="28"/>
    <n v="1010"/>
    <n v="993"/>
    <n v="1001.5"/>
    <n v="64096"/>
  </r>
  <r>
    <x v="3"/>
    <x v="29"/>
    <n v="186"/>
    <n v="158"/>
    <n v="172"/>
    <n v="11008"/>
  </r>
  <r>
    <x v="3"/>
    <x v="30"/>
    <n v="244"/>
    <n v="233"/>
    <n v="238.5"/>
    <n v="15264"/>
  </r>
  <r>
    <x v="4"/>
    <x v="31"/>
    <n v="449"/>
    <n v="440"/>
    <n v="444.5"/>
    <n v="28448"/>
  </r>
  <r>
    <x v="4"/>
    <x v="32"/>
    <n v="70"/>
    <n v="70"/>
    <n v="70"/>
    <n v="4480"/>
  </r>
  <r>
    <x v="4"/>
    <x v="33"/>
    <n v="222"/>
    <n v="216"/>
    <n v="219"/>
    <n v="14016"/>
  </r>
  <r>
    <x v="4"/>
    <x v="34"/>
    <n v="568"/>
    <n v="549"/>
    <n v="558.5"/>
    <n v="35744"/>
  </r>
  <r>
    <x v="4"/>
    <x v="35"/>
    <n v="89"/>
    <n v="96"/>
    <n v="92.5"/>
    <n v="5920"/>
  </r>
  <r>
    <x v="4"/>
    <x v="36"/>
    <n v="86"/>
    <n v="77"/>
    <n v="81.5"/>
    <n v="5216"/>
  </r>
  <r>
    <x v="4"/>
    <x v="37"/>
    <n v="270"/>
    <n v="272"/>
    <n v="271"/>
    <n v="17344"/>
  </r>
  <r>
    <x v="4"/>
    <x v="38"/>
    <n v="464"/>
    <n v="478"/>
    <n v="471"/>
    <n v="30144"/>
  </r>
  <r>
    <x v="4"/>
    <x v="39"/>
    <n v="133"/>
    <n v="129"/>
    <n v="131"/>
    <n v="8384"/>
  </r>
  <r>
    <x v="5"/>
    <x v="40"/>
    <n v="1"/>
    <n v="1"/>
    <n v="1"/>
    <n v="64"/>
  </r>
  <r>
    <x v="5"/>
    <x v="41"/>
    <n v="29"/>
    <n v="32"/>
    <n v="30.5"/>
    <n v="1952"/>
  </r>
  <r>
    <x v="5"/>
    <x v="42"/>
    <n v="5"/>
    <n v="4"/>
    <n v="4.5"/>
    <n v="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4:C54" firstHeaderRow="0" firstDataRow="1" firstDataCol="1"/>
  <pivotFields count="6">
    <pivotField axis="axisRow" showAll="0">
      <items count="8">
        <item x="0"/>
        <item x="1"/>
        <item x="2"/>
        <item x="3"/>
        <item x="4"/>
        <item m="1" x="6"/>
        <item x="5"/>
        <item t="default"/>
      </items>
    </pivotField>
    <pivotField axis="axisRow" showAll="0">
      <items count="45">
        <item x="20"/>
        <item x="1"/>
        <item x="31"/>
        <item x="9"/>
        <item x="10"/>
        <item x="11"/>
        <item x="12"/>
        <item x="21"/>
        <item x="33"/>
        <item x="34"/>
        <item x="13"/>
        <item x="14"/>
        <item x="17"/>
        <item x="18"/>
        <item x="35"/>
        <item x="36"/>
        <item x="37"/>
        <item x="38"/>
        <item x="39"/>
        <item x="19"/>
        <item x="27"/>
        <item x="15"/>
        <item x="23"/>
        <item x="25"/>
        <item x="0"/>
        <item x="6"/>
        <item x="28"/>
        <item x="7"/>
        <item x="2"/>
        <item x="3"/>
        <item x="4"/>
        <item x="5"/>
        <item x="16"/>
        <item x="42"/>
        <item x="24"/>
        <item x="26"/>
        <item x="32"/>
        <item x="30"/>
        <item x="29"/>
        <item x="8"/>
        <item x="22"/>
        <item m="1" x="43"/>
        <item x="41"/>
        <item x="40"/>
        <item t="default"/>
      </items>
    </pivotField>
    <pivotField numFmtId="3" showAll="0" defaultSubtotal="0"/>
    <pivotField numFmtId="3" showAll="0" defaultSubtotal="0"/>
    <pivotField dataField="1" numFmtId="4" showAll="0"/>
    <pivotField dataField="1" numFmtId="42" showAll="0" defaultSubtotal="0"/>
  </pivotFields>
  <rowFields count="2">
    <field x="0"/>
    <field x="1"/>
  </rowFields>
  <rowItems count="50">
    <i>
      <x/>
    </i>
    <i r="1">
      <x v="1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9"/>
    </i>
    <i>
      <x v="1"/>
    </i>
    <i r="1">
      <x v="3"/>
    </i>
    <i r="1">
      <x v="4"/>
    </i>
    <i r="1">
      <x v="5"/>
    </i>
    <i r="1">
      <x v="6"/>
    </i>
    <i>
      <x v="2"/>
    </i>
    <i r="1">
      <x v="10"/>
    </i>
    <i r="1">
      <x v="11"/>
    </i>
    <i r="1">
      <x v="12"/>
    </i>
    <i r="1">
      <x v="13"/>
    </i>
    <i r="1">
      <x v="21"/>
    </i>
    <i r="1">
      <x v="32"/>
    </i>
    <i>
      <x v="3"/>
    </i>
    <i r="1">
      <x/>
    </i>
    <i r="1">
      <x v="7"/>
    </i>
    <i r="1">
      <x v="19"/>
    </i>
    <i r="1">
      <x v="20"/>
    </i>
    <i r="1">
      <x v="22"/>
    </i>
    <i r="1">
      <x v="23"/>
    </i>
    <i r="1">
      <x v="26"/>
    </i>
    <i r="1">
      <x v="34"/>
    </i>
    <i r="1">
      <x v="35"/>
    </i>
    <i r="1">
      <x v="37"/>
    </i>
    <i r="1">
      <x v="38"/>
    </i>
    <i r="1">
      <x v="40"/>
    </i>
    <i>
      <x v="4"/>
    </i>
    <i r="1">
      <x v="2"/>
    </i>
    <i r="1">
      <x v="8"/>
    </i>
    <i r="1">
      <x v="9"/>
    </i>
    <i r="1">
      <x v="14"/>
    </i>
    <i r="1">
      <x v="15"/>
    </i>
    <i r="1">
      <x v="16"/>
    </i>
    <i r="1">
      <x v="17"/>
    </i>
    <i r="1">
      <x v="18"/>
    </i>
    <i r="1">
      <x v="36"/>
    </i>
    <i>
      <x v="6"/>
    </i>
    <i r="1">
      <x v="33"/>
    </i>
    <i r="1">
      <x v="42"/>
    </i>
    <i r="1">
      <x v="4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verage Census Count" fld="4" baseField="0" baseItem="0" numFmtId="41"/>
    <dataField name="Sum of Charge per FTE ($64)" fld="5" baseField="0" baseItem="0" numFmtId="42"/>
  </dataFields>
  <formats count="11"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collapsedLevelsAreSubtotals="1" fieldPosition="0">
        <references count="1">
          <reference field="0" count="1">
            <x v="0"/>
          </reference>
        </references>
      </pivotArea>
    </format>
    <format dxfId="0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zoomScale="82" zoomScaleNormal="82" workbookViewId="0"/>
  </sheetViews>
  <sheetFormatPr defaultRowHeight="15" x14ac:dyDescent="0.25"/>
  <cols>
    <col min="1" max="1" width="35.42578125" customWidth="1"/>
    <col min="2" max="2" width="15.140625" customWidth="1"/>
    <col min="3" max="3" width="14.42578125" style="4" customWidth="1"/>
    <col min="4" max="4" width="3.42578125" style="4" customWidth="1"/>
    <col min="5" max="5" width="11.5703125" style="11" customWidth="1"/>
    <col min="6" max="6" width="9.140625" style="11" customWidth="1"/>
    <col min="7" max="7" width="38.28515625" style="10" customWidth="1"/>
    <col min="8" max="8" width="14.28515625" style="10" customWidth="1"/>
    <col min="9" max="9" width="10.42578125" customWidth="1"/>
    <col min="10" max="10" width="21.42578125" customWidth="1"/>
  </cols>
  <sheetData>
    <row r="1" spans="1:11" ht="21" x14ac:dyDescent="0.35">
      <c r="A1" s="3" t="s">
        <v>133</v>
      </c>
    </row>
    <row r="2" spans="1:11" ht="21" x14ac:dyDescent="0.35">
      <c r="A2" s="3" t="s">
        <v>246</v>
      </c>
    </row>
    <row r="3" spans="1:11" ht="15.75" thickBot="1" x14ac:dyDescent="0.3"/>
    <row r="4" spans="1:11" s="49" customFormat="1" ht="30.75" thickBot="1" x14ac:dyDescent="0.3">
      <c r="A4" s="48" t="s">
        <v>128</v>
      </c>
      <c r="B4" s="49" t="s">
        <v>130</v>
      </c>
      <c r="C4" s="63" t="s">
        <v>181</v>
      </c>
      <c r="D4" s="50"/>
      <c r="E4" s="24" t="s">
        <v>88</v>
      </c>
      <c r="F4" s="25" t="s">
        <v>89</v>
      </c>
      <c r="G4" s="25" t="s">
        <v>90</v>
      </c>
      <c r="H4" s="51" t="s">
        <v>91</v>
      </c>
      <c r="I4" s="25" t="s">
        <v>92</v>
      </c>
      <c r="J4" s="52" t="s">
        <v>93</v>
      </c>
      <c r="K4" s="1"/>
    </row>
    <row r="5" spans="1:11" x14ac:dyDescent="0.25">
      <c r="A5" s="14" t="s">
        <v>206</v>
      </c>
      <c r="B5" s="60">
        <v>5087</v>
      </c>
      <c r="C5" s="15">
        <v>325568</v>
      </c>
      <c r="E5" s="20"/>
      <c r="F5" s="21"/>
      <c r="G5" s="22"/>
      <c r="H5" s="23"/>
      <c r="I5" s="26"/>
      <c r="J5" s="27"/>
    </row>
    <row r="6" spans="1:11" x14ac:dyDescent="0.25">
      <c r="A6" s="13" t="s">
        <v>42</v>
      </c>
      <c r="B6" s="58">
        <v>71.5</v>
      </c>
      <c r="C6" s="4">
        <v>4576</v>
      </c>
      <c r="E6" s="41" t="s">
        <v>87</v>
      </c>
      <c r="F6" s="39" t="s">
        <v>132</v>
      </c>
      <c r="G6" s="44" t="s">
        <v>105</v>
      </c>
      <c r="H6" s="45">
        <f>GETPIVOTDATA("Sum of Charge per FTE ($64)",$A$4,"Control Unit Description","Campus Support","Division Description","Art Mus &amp; Pacific Film Archive")</f>
        <v>4576</v>
      </c>
      <c r="I6" s="16">
        <v>71410</v>
      </c>
      <c r="J6" s="17" t="s">
        <v>131</v>
      </c>
    </row>
    <row r="7" spans="1:11" x14ac:dyDescent="0.25">
      <c r="A7" s="13" t="s">
        <v>152</v>
      </c>
      <c r="B7" s="58">
        <v>1939</v>
      </c>
      <c r="C7" s="4">
        <v>124096</v>
      </c>
      <c r="E7" s="41" t="s">
        <v>193</v>
      </c>
      <c r="F7" s="39" t="s">
        <v>132</v>
      </c>
      <c r="G7" s="44" t="s">
        <v>127</v>
      </c>
      <c r="H7" s="45">
        <f>GETPIVOTDATA("Sum of Charge per FTE ($64)",$A$4,"Control Unit Description","Campus Support","Division Description","Administration &amp; Finance")</f>
        <v>124096</v>
      </c>
      <c r="I7" s="16">
        <v>71410</v>
      </c>
      <c r="J7" s="17" t="s">
        <v>131</v>
      </c>
    </row>
    <row r="8" spans="1:11" x14ac:dyDescent="0.25">
      <c r="A8" s="13" t="s">
        <v>153</v>
      </c>
      <c r="B8" s="58">
        <v>575</v>
      </c>
      <c r="C8" s="4">
        <v>36800</v>
      </c>
      <c r="E8" s="41" t="s">
        <v>192</v>
      </c>
      <c r="F8" s="39" t="s">
        <v>132</v>
      </c>
      <c r="G8" s="44" t="s">
        <v>127</v>
      </c>
      <c r="H8" s="45">
        <f>GETPIVOTDATA("Sum of Charge per FTE ($64)",$A$4,"Control Unit Description","Campus Support","Division Description","Real Estate")</f>
        <v>36800</v>
      </c>
      <c r="I8" s="16">
        <v>71410</v>
      </c>
      <c r="J8" s="17" t="s">
        <v>131</v>
      </c>
    </row>
    <row r="9" spans="1:11" x14ac:dyDescent="0.25">
      <c r="A9" s="13" t="s">
        <v>156</v>
      </c>
      <c r="B9" s="58">
        <v>1481</v>
      </c>
      <c r="C9" s="4">
        <v>94784</v>
      </c>
      <c r="E9" s="41" t="s">
        <v>140</v>
      </c>
      <c r="F9" s="39" t="s">
        <v>132</v>
      </c>
      <c r="G9" s="44" t="s">
        <v>105</v>
      </c>
      <c r="H9" s="45">
        <f>GETPIVOTDATA("Sum of Charge per FTE ($64)",$A$4,"Control Unit Description","Campus Support","Division Description","Student Affairs")</f>
        <v>94784</v>
      </c>
      <c r="I9" s="16">
        <v>71410</v>
      </c>
      <c r="J9" s="17" t="s">
        <v>131</v>
      </c>
    </row>
    <row r="10" spans="1:11" x14ac:dyDescent="0.25">
      <c r="A10" s="13" t="s">
        <v>208</v>
      </c>
      <c r="B10" s="58">
        <v>292.5</v>
      </c>
      <c r="C10" s="4">
        <v>18720</v>
      </c>
      <c r="E10" s="41" t="s">
        <v>209</v>
      </c>
      <c r="F10" s="39" t="s">
        <v>132</v>
      </c>
      <c r="G10" s="44" t="s">
        <v>105</v>
      </c>
      <c r="H10" s="45">
        <f>GETPIVOTDATA("Sum of Charge per FTE ($64)",$A$4,"Control Unit Description","Campus Support","Division Description","Athletics")</f>
        <v>18720</v>
      </c>
      <c r="I10" s="16">
        <v>71410</v>
      </c>
      <c r="J10" s="17" t="s">
        <v>131</v>
      </c>
    </row>
    <row r="11" spans="1:11" x14ac:dyDescent="0.25">
      <c r="A11" s="13" t="s">
        <v>222</v>
      </c>
      <c r="B11" s="58">
        <v>131</v>
      </c>
      <c r="C11" s="4">
        <v>8384</v>
      </c>
      <c r="E11" s="41" t="s">
        <v>217</v>
      </c>
      <c r="F11" s="39" t="s">
        <v>132</v>
      </c>
      <c r="G11" s="44" t="s">
        <v>127</v>
      </c>
      <c r="H11" s="45">
        <f>GETPIVOTDATA("Sum of Charge per FTE ($64)",$A$4,"Control Unit Description","Campus Support","Division Description","Cal Performances_SMA")</f>
        <v>8384</v>
      </c>
      <c r="I11" s="16">
        <v>71410</v>
      </c>
      <c r="J11" s="17" t="s">
        <v>131</v>
      </c>
    </row>
    <row r="12" spans="1:11" x14ac:dyDescent="0.25">
      <c r="A12" s="13" t="s">
        <v>223</v>
      </c>
      <c r="B12" s="58">
        <v>99</v>
      </c>
      <c r="C12" s="4">
        <v>6336</v>
      </c>
      <c r="E12" s="41" t="s">
        <v>78</v>
      </c>
      <c r="F12" s="39" t="s">
        <v>132</v>
      </c>
      <c r="G12" s="44" t="s">
        <v>127</v>
      </c>
      <c r="H12" s="45">
        <f>GETPIVOTDATA("Sum of Charge per FTE ($64)",$A$4,"Control Unit Description","Campus Support","Division Description","Campus Support Core")</f>
        <v>6336</v>
      </c>
      <c r="I12" s="16">
        <v>71410</v>
      </c>
      <c r="J12" s="17" t="s">
        <v>131</v>
      </c>
    </row>
    <row r="13" spans="1:11" x14ac:dyDescent="0.25">
      <c r="A13" s="13" t="s">
        <v>231</v>
      </c>
      <c r="B13" s="58">
        <v>243.5</v>
      </c>
      <c r="C13" s="4">
        <v>15584</v>
      </c>
      <c r="E13" s="41" t="s">
        <v>216</v>
      </c>
      <c r="F13" s="39" t="s">
        <v>132</v>
      </c>
      <c r="G13" s="44" t="s">
        <v>105</v>
      </c>
      <c r="H13" s="45">
        <f>GETPIVOTDATA("Sum of Charge per FTE ($64)",$A$4,"Control Unit Description","Campus Support","Division Description","Equity &amp; Inclusion Div")</f>
        <v>15584</v>
      </c>
      <c r="I13" s="16">
        <v>71410</v>
      </c>
      <c r="J13" s="17" t="s">
        <v>131</v>
      </c>
    </row>
    <row r="14" spans="1:11" x14ac:dyDescent="0.25">
      <c r="A14" s="13" t="s">
        <v>230</v>
      </c>
      <c r="B14" s="58">
        <v>254.5</v>
      </c>
      <c r="C14" s="4">
        <v>16288</v>
      </c>
      <c r="E14" s="41" t="s">
        <v>191</v>
      </c>
      <c r="F14" s="39" t="s">
        <v>132</v>
      </c>
      <c r="G14" s="44" t="s">
        <v>124</v>
      </c>
      <c r="H14" s="45">
        <f>GETPIVOTDATA("Sum of Charge per FTE ($64)",$A$4,"Control Unit Description","Campus Support","Division Description","Univ Developmt and Alumni Rel")</f>
        <v>16288</v>
      </c>
      <c r="I14" s="16">
        <v>71410</v>
      </c>
      <c r="J14" s="17" t="s">
        <v>131</v>
      </c>
    </row>
    <row r="15" spans="1:11" x14ac:dyDescent="0.25">
      <c r="A15" s="12" t="s">
        <v>239</v>
      </c>
      <c r="B15" s="58">
        <v>2276</v>
      </c>
      <c r="C15" s="4">
        <v>145664</v>
      </c>
      <c r="E15" s="94"/>
      <c r="F15" s="95"/>
      <c r="G15" s="96"/>
      <c r="H15" s="97"/>
      <c r="I15" s="31"/>
      <c r="J15" s="32"/>
    </row>
    <row r="16" spans="1:11" x14ac:dyDescent="0.25">
      <c r="A16" s="13" t="s">
        <v>30</v>
      </c>
      <c r="B16" s="58">
        <v>212.5</v>
      </c>
      <c r="C16" s="4">
        <v>13600</v>
      </c>
      <c r="E16" s="41" t="s">
        <v>81</v>
      </c>
      <c r="F16" s="39" t="s">
        <v>132</v>
      </c>
      <c r="G16" s="44" t="s">
        <v>105</v>
      </c>
      <c r="H16" s="45">
        <f>GETPIVOTDATA("Sum of Charge per FTE ($64)",$A$4,"Control Unit Description","Colleges","Division Description","Col of Environmental Design")</f>
        <v>13600</v>
      </c>
      <c r="I16" s="16">
        <v>71410</v>
      </c>
      <c r="J16" s="17" t="s">
        <v>131</v>
      </c>
    </row>
    <row r="17" spans="1:10" x14ac:dyDescent="0.25">
      <c r="A17" s="13" t="s">
        <v>75</v>
      </c>
      <c r="B17" s="58">
        <v>373.5</v>
      </c>
      <c r="C17" s="4">
        <v>23904</v>
      </c>
      <c r="E17" s="41" t="s">
        <v>143</v>
      </c>
      <c r="F17" s="39" t="s">
        <v>132</v>
      </c>
      <c r="G17" s="44" t="s">
        <v>105</v>
      </c>
      <c r="H17" s="45">
        <f>GETPIVOTDATA("Sum of Charge per FTE ($64)",$A$4,"Control Unit Description","Colleges","Division Description","College of Chemistry")</f>
        <v>23904</v>
      </c>
      <c r="I17" s="16">
        <v>71410</v>
      </c>
      <c r="J17" s="17" t="s">
        <v>131</v>
      </c>
    </row>
    <row r="18" spans="1:10" x14ac:dyDescent="0.25">
      <c r="A18" s="13" t="s">
        <v>35</v>
      </c>
      <c r="B18" s="58">
        <v>1161</v>
      </c>
      <c r="C18" s="4">
        <v>74304</v>
      </c>
      <c r="E18" s="41" t="s">
        <v>80</v>
      </c>
      <c r="F18" s="39" t="s">
        <v>132</v>
      </c>
      <c r="G18" s="44" t="s">
        <v>109</v>
      </c>
      <c r="H18" s="45">
        <f>GETPIVOTDATA("Sum of Charge per FTE ($64)",$A$4,"Control Unit Description","Colleges","Division Description","College of Engineering")</f>
        <v>74304</v>
      </c>
      <c r="I18" s="16">
        <v>71410</v>
      </c>
      <c r="J18" s="17" t="s">
        <v>131</v>
      </c>
    </row>
    <row r="19" spans="1:10" x14ac:dyDescent="0.25">
      <c r="A19" s="13" t="s">
        <v>32</v>
      </c>
      <c r="B19" s="58">
        <v>529</v>
      </c>
      <c r="C19" s="4">
        <v>33856</v>
      </c>
      <c r="E19" s="41" t="s">
        <v>137</v>
      </c>
      <c r="F19" s="39" t="s">
        <v>132</v>
      </c>
      <c r="G19" s="44" t="s">
        <v>105</v>
      </c>
      <c r="H19" s="45">
        <f>GETPIVOTDATA("Sum of Charge per FTE ($64)",$A$4,"Control Unit Description","Colleges","Division Description","College of Natural Resources")</f>
        <v>33856</v>
      </c>
      <c r="I19" s="16">
        <v>71410</v>
      </c>
      <c r="J19" s="17" t="s">
        <v>131</v>
      </c>
    </row>
    <row r="20" spans="1:10" x14ac:dyDescent="0.25">
      <c r="A20" s="12" t="s">
        <v>240</v>
      </c>
      <c r="B20" s="58">
        <v>3151</v>
      </c>
      <c r="C20" s="4">
        <v>201664</v>
      </c>
      <c r="E20" s="94"/>
      <c r="F20" s="95"/>
      <c r="G20" s="96"/>
      <c r="H20" s="97"/>
      <c r="I20" s="31"/>
      <c r="J20" s="32"/>
    </row>
    <row r="21" spans="1:10" x14ac:dyDescent="0.25">
      <c r="A21" s="13" t="s">
        <v>14</v>
      </c>
      <c r="B21" s="58">
        <v>872.5</v>
      </c>
      <c r="C21" s="4">
        <v>55840</v>
      </c>
      <c r="E21" s="42" t="s">
        <v>134</v>
      </c>
      <c r="F21" s="39" t="s">
        <v>132</v>
      </c>
      <c r="G21" s="44" t="s">
        <v>122</v>
      </c>
      <c r="H21" s="45">
        <f>GETPIVOTDATA("Sum of Charge per FTE ($64)",$A$4,"Control Unit Description","Letters &amp; Science","Division Description","L&amp;S Arts &amp; Humanities")</f>
        <v>55840</v>
      </c>
      <c r="I21" s="16">
        <v>71410</v>
      </c>
      <c r="J21" s="17" t="s">
        <v>131</v>
      </c>
    </row>
    <row r="22" spans="1:10" x14ac:dyDescent="0.25">
      <c r="A22" s="13" t="s">
        <v>12</v>
      </c>
      <c r="B22" s="58">
        <v>645</v>
      </c>
      <c r="C22" s="4">
        <v>41280</v>
      </c>
      <c r="E22" s="41">
        <v>12115</v>
      </c>
      <c r="F22" s="39" t="s">
        <v>132</v>
      </c>
      <c r="G22" s="44" t="s">
        <v>105</v>
      </c>
      <c r="H22" s="45">
        <f>GETPIVOTDATA("Sum of Charge per FTE ($64)",$A$4,"Control Unit Description","Letters &amp; Science","Division Description","L&amp;S Biological Sciences")</f>
        <v>41280</v>
      </c>
      <c r="I22" s="16">
        <v>71410</v>
      </c>
      <c r="J22" s="17" t="s">
        <v>131</v>
      </c>
    </row>
    <row r="23" spans="1:10" x14ac:dyDescent="0.25">
      <c r="A23" s="13" t="s">
        <v>18</v>
      </c>
      <c r="B23" s="58">
        <v>819</v>
      </c>
      <c r="C23" s="4">
        <v>52416</v>
      </c>
      <c r="E23" s="41">
        <v>13115</v>
      </c>
      <c r="F23" s="39" t="s">
        <v>132</v>
      </c>
      <c r="G23" s="44" t="s">
        <v>105</v>
      </c>
      <c r="H23" s="45">
        <f>GETPIVOTDATA("Sum of Charge per FTE ($64)",$A$4,"Control Unit Description","Letters &amp; Science","Division Description","L&amp;S Social Sciences")</f>
        <v>52416</v>
      </c>
      <c r="I23" s="16">
        <v>71410</v>
      </c>
      <c r="J23" s="17" t="s">
        <v>131</v>
      </c>
    </row>
    <row r="24" spans="1:10" x14ac:dyDescent="0.25">
      <c r="A24" s="13" t="s">
        <v>20</v>
      </c>
      <c r="B24" s="58">
        <v>139.5</v>
      </c>
      <c r="C24" s="4">
        <v>8928</v>
      </c>
      <c r="E24" s="41" t="s">
        <v>183</v>
      </c>
      <c r="F24" s="39" t="s">
        <v>132</v>
      </c>
      <c r="G24" s="44" t="s">
        <v>105</v>
      </c>
      <c r="H24" s="45">
        <f>GETPIVOTDATA("Sum of Charge per FTE ($64)",$A$4,"Control Unit Description","Letters &amp; Science","Division Description","L&amp;S Undergraduate Division")</f>
        <v>8928</v>
      </c>
      <c r="I24" s="16">
        <v>71410</v>
      </c>
      <c r="J24" s="17" t="s">
        <v>131</v>
      </c>
    </row>
    <row r="25" spans="1:10" x14ac:dyDescent="0.25">
      <c r="A25" s="13" t="s">
        <v>157</v>
      </c>
      <c r="B25" s="58">
        <v>57</v>
      </c>
      <c r="C25" s="4">
        <v>3648</v>
      </c>
      <c r="E25" s="41" t="s">
        <v>136</v>
      </c>
      <c r="F25" s="39" t="s">
        <v>132</v>
      </c>
      <c r="G25" s="44" t="s">
        <v>105</v>
      </c>
      <c r="H25" s="45">
        <f>GETPIVOTDATA("Sum of Charge per FTE ($64)",$A$4,"Control Unit Description","Letters &amp; Science","Division Description","L&amp;S Core")</f>
        <v>3648</v>
      </c>
      <c r="I25" s="16">
        <v>71410</v>
      </c>
      <c r="J25" s="17" t="s">
        <v>131</v>
      </c>
    </row>
    <row r="26" spans="1:10" x14ac:dyDescent="0.25">
      <c r="A26" s="13" t="s">
        <v>227</v>
      </c>
      <c r="B26" s="58">
        <v>618</v>
      </c>
      <c r="C26" s="4">
        <v>39552</v>
      </c>
      <c r="E26" s="41" t="s">
        <v>135</v>
      </c>
      <c r="F26" s="39" t="s">
        <v>132</v>
      </c>
      <c r="G26" s="44" t="s">
        <v>122</v>
      </c>
      <c r="H26" s="45">
        <f>GETPIVOTDATA("Sum of Charge per FTE ($64)",$A$4,"Control Unit Description","Letters &amp; Science","Division Description","L&amp;S Math &amp; Physical Sci")</f>
        <v>39552</v>
      </c>
      <c r="I26" s="16">
        <v>71410</v>
      </c>
      <c r="J26" s="17" t="s">
        <v>131</v>
      </c>
    </row>
    <row r="27" spans="1:10" x14ac:dyDescent="0.25">
      <c r="A27" s="12" t="s">
        <v>221</v>
      </c>
      <c r="B27" s="58">
        <v>3130.5</v>
      </c>
      <c r="C27" s="4">
        <v>200352</v>
      </c>
      <c r="E27" s="33"/>
      <c r="F27" s="28"/>
      <c r="G27" s="29"/>
      <c r="H27" s="30"/>
      <c r="I27" s="30"/>
      <c r="J27" s="34"/>
    </row>
    <row r="28" spans="1:10" x14ac:dyDescent="0.25">
      <c r="A28" s="13" t="s">
        <v>24</v>
      </c>
      <c r="B28" s="58">
        <v>11.5</v>
      </c>
      <c r="C28" s="4">
        <v>736</v>
      </c>
      <c r="E28" s="41" t="s">
        <v>79</v>
      </c>
      <c r="F28" s="39" t="s">
        <v>132</v>
      </c>
      <c r="G28" s="44" t="s">
        <v>127</v>
      </c>
      <c r="H28" s="45">
        <f>GETPIVOTDATA("Sum of Charge per FTE ($64)",$A$4,"Control Unit Description","Other Academic","Division Description","Academic Senate")</f>
        <v>736</v>
      </c>
      <c r="I28" s="16">
        <v>71410</v>
      </c>
      <c r="J28" s="17" t="s">
        <v>131</v>
      </c>
    </row>
    <row r="29" spans="1:10" x14ac:dyDescent="0.25">
      <c r="A29" s="13" t="s">
        <v>59</v>
      </c>
      <c r="B29" s="58">
        <v>51</v>
      </c>
      <c r="C29" s="4">
        <v>3264</v>
      </c>
      <c r="E29" s="41" t="s">
        <v>139</v>
      </c>
      <c r="F29" s="39" t="s">
        <v>132</v>
      </c>
      <c r="G29" s="44" t="s">
        <v>105</v>
      </c>
      <c r="H29" s="45">
        <f>GETPIVOTDATA("Sum of Charge per FTE ($64)",$A$4,"Control Unit Description","Other Academic","Division Description","Graduate Division")</f>
        <v>3264</v>
      </c>
      <c r="I29" s="16">
        <v>71410</v>
      </c>
      <c r="J29" s="17" t="s">
        <v>131</v>
      </c>
    </row>
    <row r="30" spans="1:10" x14ac:dyDescent="0.25">
      <c r="A30" s="13" t="s">
        <v>144</v>
      </c>
      <c r="B30" s="58">
        <v>20</v>
      </c>
      <c r="C30" s="4">
        <v>1280</v>
      </c>
      <c r="E30" s="41" t="s">
        <v>82</v>
      </c>
      <c r="F30" s="39" t="s">
        <v>132</v>
      </c>
      <c r="G30" s="44" t="s">
        <v>127</v>
      </c>
      <c r="H30" s="45">
        <f>GETPIVOTDATA("Sum of Charge per FTE ($64)",$A$4,"Control Unit Description","Other Academic","Division Description","Academic Core")</f>
        <v>1280</v>
      </c>
      <c r="I30" s="16">
        <v>71410</v>
      </c>
      <c r="J30" s="17" t="s">
        <v>131</v>
      </c>
    </row>
    <row r="31" spans="1:10" x14ac:dyDescent="0.25">
      <c r="A31" s="13" t="s">
        <v>149</v>
      </c>
      <c r="B31" s="58">
        <v>1017.5</v>
      </c>
      <c r="C31" s="4">
        <v>65120</v>
      </c>
      <c r="E31" s="41" t="s">
        <v>188</v>
      </c>
      <c r="F31" s="39" t="s">
        <v>132</v>
      </c>
      <c r="G31" s="44" t="s">
        <v>150</v>
      </c>
      <c r="H31" s="45">
        <f>GETPIVOTDATA("Sum of Charge per FTE ($64)",$A$4,"Control Unit Description","Other Academic","Division Description","University Extension")</f>
        <v>65120</v>
      </c>
      <c r="I31" s="16">
        <v>71410</v>
      </c>
      <c r="J31" s="17" t="s">
        <v>131</v>
      </c>
    </row>
    <row r="32" spans="1:10" x14ac:dyDescent="0.25">
      <c r="A32" s="13" t="s">
        <v>160</v>
      </c>
      <c r="B32" s="58">
        <v>11</v>
      </c>
      <c r="C32" s="4">
        <v>704</v>
      </c>
      <c r="E32" s="41" t="s">
        <v>189</v>
      </c>
      <c r="F32" s="39" t="s">
        <v>132</v>
      </c>
      <c r="G32" s="44" t="s">
        <v>127</v>
      </c>
      <c r="H32" s="45">
        <f>GETPIVOTDATA("Sum of Charge per FTE ($64)",$A$4,"Control Unit Description","Other Academic","Division Description","Strategic Acad and Fac Plan")</f>
        <v>704</v>
      </c>
      <c r="I32" s="16">
        <v>71410</v>
      </c>
      <c r="J32" s="17" t="s">
        <v>131</v>
      </c>
    </row>
    <row r="33" spans="1:10" x14ac:dyDescent="0.25">
      <c r="A33" s="13" t="s">
        <v>158</v>
      </c>
      <c r="B33" s="58">
        <v>360</v>
      </c>
      <c r="C33" s="4">
        <v>23040</v>
      </c>
      <c r="E33" s="41" t="s">
        <v>215</v>
      </c>
      <c r="F33" s="39" t="s">
        <v>132</v>
      </c>
      <c r="G33" s="44" t="s">
        <v>122</v>
      </c>
      <c r="H33" s="45">
        <f>GETPIVOTDATA("Sum of Charge per FTE ($64)",$A$4,"Control Unit Description","Other Academic","Division Description","UC Library")</f>
        <v>23040</v>
      </c>
      <c r="I33" s="16">
        <v>71410</v>
      </c>
      <c r="J33" s="17" t="s">
        <v>131</v>
      </c>
    </row>
    <row r="34" spans="1:10" x14ac:dyDescent="0.25">
      <c r="A34" s="13" t="s">
        <v>155</v>
      </c>
      <c r="B34" s="58">
        <v>1001.5</v>
      </c>
      <c r="C34" s="4">
        <v>64096</v>
      </c>
      <c r="E34" s="41" t="s">
        <v>190</v>
      </c>
      <c r="F34" s="39" t="s">
        <v>132</v>
      </c>
      <c r="G34" s="44" t="s">
        <v>109</v>
      </c>
      <c r="H34" s="45">
        <f>GETPIVOTDATA("Sum of Charge per FTE ($64)",$A$4,"Control Unit Description","Other Academic","Division Description","Academic Research Units")</f>
        <v>64096</v>
      </c>
      <c r="I34" s="16"/>
      <c r="J34" s="17"/>
    </row>
    <row r="35" spans="1:10" x14ac:dyDescent="0.25">
      <c r="A35" s="13" t="s">
        <v>228</v>
      </c>
      <c r="B35" s="58">
        <v>63</v>
      </c>
      <c r="C35" s="4">
        <v>4032</v>
      </c>
      <c r="E35" s="41" t="s">
        <v>187</v>
      </c>
      <c r="F35" s="39" t="s">
        <v>132</v>
      </c>
      <c r="G35" s="44" t="s">
        <v>105</v>
      </c>
      <c r="H35" s="45">
        <f>GETPIVOTDATA("Sum of Charge per FTE ($64)",$A$4,"Control Unit Description","Other Academic","Division Description","Summer Sessn, Study Abrd, OLLI")</f>
        <v>4032</v>
      </c>
      <c r="I35" s="16">
        <v>71410</v>
      </c>
      <c r="J35" s="17" t="s">
        <v>131</v>
      </c>
    </row>
    <row r="36" spans="1:10" x14ac:dyDescent="0.25">
      <c r="A36" s="13" t="s">
        <v>236</v>
      </c>
      <c r="B36" s="58">
        <v>166</v>
      </c>
      <c r="C36" s="4">
        <v>10624</v>
      </c>
      <c r="E36" s="41" t="s">
        <v>142</v>
      </c>
      <c r="F36" s="39" t="s">
        <v>132</v>
      </c>
      <c r="G36" s="44" t="s">
        <v>127</v>
      </c>
      <c r="H36" s="45">
        <f>GETPIVOTDATA("Sum of Charge per FTE ($64)",$A$4,"Control Unit Description","Other Academic","Division Description","Undergraduate Education")</f>
        <v>10624</v>
      </c>
      <c r="I36" s="16">
        <v>71410</v>
      </c>
      <c r="J36" s="17" t="s">
        <v>131</v>
      </c>
    </row>
    <row r="37" spans="1:10" x14ac:dyDescent="0.25">
      <c r="A37" s="13" t="s">
        <v>234</v>
      </c>
      <c r="B37" s="58">
        <v>238.5</v>
      </c>
      <c r="C37" s="4">
        <v>15264</v>
      </c>
      <c r="E37" s="41" t="s">
        <v>247</v>
      </c>
      <c r="F37" s="39" t="s">
        <v>132</v>
      </c>
      <c r="G37" s="44" t="s">
        <v>105</v>
      </c>
      <c r="H37" s="45">
        <f>GETPIVOTDATA("Sum of Charge per FTE ($64)",$A$4,"Control Unit Description","Other Academic","Division Description","Research Administrative Units")</f>
        <v>15264</v>
      </c>
      <c r="I37" s="16">
        <v>71410</v>
      </c>
      <c r="J37" s="17" t="s">
        <v>131</v>
      </c>
    </row>
    <row r="38" spans="1:10" x14ac:dyDescent="0.25">
      <c r="A38" s="13" t="s">
        <v>235</v>
      </c>
      <c r="B38" s="58">
        <v>172</v>
      </c>
      <c r="C38" s="4">
        <v>11008</v>
      </c>
      <c r="E38" s="41" t="s">
        <v>190</v>
      </c>
      <c r="F38" s="39" t="s">
        <v>132</v>
      </c>
      <c r="G38" s="44" t="s">
        <v>109</v>
      </c>
      <c r="H38" s="45">
        <f>GETPIVOTDATA("Sum of Charge per FTE ($64)",$A$4,"Control Unit Description","Other Academic","Division Description","Res Museum &amp; Field Stations")</f>
        <v>11008</v>
      </c>
      <c r="I38" s="98"/>
      <c r="J38" s="17"/>
    </row>
    <row r="39" spans="1:10" x14ac:dyDescent="0.25">
      <c r="A39" s="13" t="s">
        <v>145</v>
      </c>
      <c r="B39" s="58">
        <v>18.5</v>
      </c>
      <c r="C39" s="4">
        <v>1184</v>
      </c>
      <c r="E39" s="41" t="s">
        <v>86</v>
      </c>
      <c r="F39" s="39" t="s">
        <v>132</v>
      </c>
      <c r="G39" s="44" t="s">
        <v>127</v>
      </c>
      <c r="H39" s="45">
        <f>GETPIVOTDATA("Sum of Charge per FTE ($64)",$A$4,"Control Unit Description","Other Academic","Division Description","Office for the Faculty")</f>
        <v>1184</v>
      </c>
      <c r="I39" s="16">
        <v>71410</v>
      </c>
      <c r="J39" s="17" t="s">
        <v>131</v>
      </c>
    </row>
    <row r="40" spans="1:10" x14ac:dyDescent="0.25">
      <c r="A40" s="12" t="s">
        <v>244</v>
      </c>
      <c r="B40" s="58">
        <v>2339</v>
      </c>
      <c r="C40" s="4">
        <v>149696</v>
      </c>
      <c r="E40" s="33"/>
      <c r="F40" s="99"/>
      <c r="G40" s="29"/>
      <c r="H40" s="30"/>
      <c r="I40" s="98"/>
      <c r="J40" s="34"/>
    </row>
    <row r="41" spans="1:10" x14ac:dyDescent="0.25">
      <c r="A41" s="13" t="s">
        <v>26</v>
      </c>
      <c r="B41" s="58">
        <v>444.5</v>
      </c>
      <c r="C41" s="4">
        <v>28448</v>
      </c>
      <c r="E41" s="41" t="s">
        <v>184</v>
      </c>
      <c r="F41" s="39" t="s">
        <v>132</v>
      </c>
      <c r="G41" s="44" t="s">
        <v>105</v>
      </c>
      <c r="H41" s="45">
        <f>GETPIVOTDATA("Sum of Charge per FTE ($64)",$A$4,"Control Unit Description","Schools","Division Description","Boalt School of Law")</f>
        <v>28448</v>
      </c>
      <c r="I41" s="16">
        <v>71410</v>
      </c>
      <c r="J41" s="17" t="s">
        <v>131</v>
      </c>
    </row>
    <row r="42" spans="1:10" x14ac:dyDescent="0.25">
      <c r="A42" s="13" t="s">
        <v>49</v>
      </c>
      <c r="B42" s="58">
        <v>219</v>
      </c>
      <c r="C42" s="4">
        <v>14016</v>
      </c>
      <c r="E42" s="41" t="s">
        <v>83</v>
      </c>
      <c r="F42" s="39" t="s">
        <v>132</v>
      </c>
      <c r="G42" s="44" t="s">
        <v>105</v>
      </c>
      <c r="H42" s="45">
        <f>GETPIVOTDATA("Sum of Charge per FTE ($64)",$A$4,"Control Unit Description","Schools","Division Description","Graduate School of Education")</f>
        <v>14016</v>
      </c>
      <c r="I42" s="16">
        <v>71410</v>
      </c>
      <c r="J42" s="17" t="s">
        <v>131</v>
      </c>
    </row>
    <row r="43" spans="1:10" x14ac:dyDescent="0.25">
      <c r="A43" s="13" t="s">
        <v>40</v>
      </c>
      <c r="B43" s="58">
        <v>558.5</v>
      </c>
      <c r="C43" s="4">
        <v>35744</v>
      </c>
      <c r="E43" s="41" t="s">
        <v>141</v>
      </c>
      <c r="F43" s="39" t="s">
        <v>132</v>
      </c>
      <c r="G43" s="44" t="s">
        <v>105</v>
      </c>
      <c r="H43" s="45">
        <f>GETPIVOTDATA("Sum of Charge per FTE ($64)",$A$4,"Control Unit Description","Schools","Division Description","Haas School of Business")</f>
        <v>35744</v>
      </c>
      <c r="I43" s="16">
        <v>71410</v>
      </c>
      <c r="J43" s="17" t="s">
        <v>131</v>
      </c>
    </row>
    <row r="44" spans="1:10" x14ac:dyDescent="0.25">
      <c r="A44" s="13" t="s">
        <v>55</v>
      </c>
      <c r="B44" s="58">
        <v>92.5</v>
      </c>
      <c r="C44" s="4">
        <v>5920</v>
      </c>
      <c r="E44" s="42" t="s">
        <v>218</v>
      </c>
      <c r="F44" s="39" t="s">
        <v>132</v>
      </c>
      <c r="G44" s="44" t="s">
        <v>127</v>
      </c>
      <c r="H44" s="45">
        <f>GETPIVOTDATA("Sum of Charge per FTE ($64)",$A$4,"Control Unit Description","Schools","Division Description","School of Information")</f>
        <v>5920</v>
      </c>
      <c r="I44" s="16">
        <v>71410</v>
      </c>
      <c r="J44" s="17" t="s">
        <v>131</v>
      </c>
    </row>
    <row r="45" spans="1:10" x14ac:dyDescent="0.25">
      <c r="A45" s="13" t="s">
        <v>53</v>
      </c>
      <c r="B45" s="58">
        <v>81.5</v>
      </c>
      <c r="C45" s="4">
        <v>5216</v>
      </c>
      <c r="E45" s="41" t="s">
        <v>84</v>
      </c>
      <c r="F45" s="39" t="s">
        <v>132</v>
      </c>
      <c r="G45" s="44" t="s">
        <v>120</v>
      </c>
      <c r="H45" s="45">
        <f>GETPIVOTDATA("Sum of Charge per FTE ($64)",$A$4,"Control Unit Description","Schools","Division Description","School of Journalism")</f>
        <v>5216</v>
      </c>
      <c r="I45" s="16">
        <v>71410</v>
      </c>
      <c r="J45" s="17" t="s">
        <v>131</v>
      </c>
    </row>
    <row r="46" spans="1:10" x14ac:dyDescent="0.25">
      <c r="A46" s="13" t="s">
        <v>45</v>
      </c>
      <c r="B46" s="58">
        <v>271</v>
      </c>
      <c r="C46" s="4">
        <v>17344</v>
      </c>
      <c r="E46" s="41" t="s">
        <v>185</v>
      </c>
      <c r="F46" s="39" t="s">
        <v>132</v>
      </c>
      <c r="G46" s="44" t="s">
        <v>109</v>
      </c>
      <c r="H46" s="45">
        <f>GETPIVOTDATA("Sum of Charge per FTE ($64)",$A$4,"Control Unit Description","Schools","Division Description","School of Optometry")</f>
        <v>17344</v>
      </c>
      <c r="I46" s="16">
        <v>71410</v>
      </c>
      <c r="J46" s="17" t="s">
        <v>131</v>
      </c>
    </row>
    <row r="47" spans="1:10" x14ac:dyDescent="0.25">
      <c r="A47" s="13" t="s">
        <v>47</v>
      </c>
      <c r="B47" s="58">
        <v>471</v>
      </c>
      <c r="C47" s="4">
        <v>30144</v>
      </c>
      <c r="E47" s="42" t="s">
        <v>85</v>
      </c>
      <c r="F47" s="39" t="s">
        <v>132</v>
      </c>
      <c r="G47" s="44" t="s">
        <v>127</v>
      </c>
      <c r="H47" s="45">
        <f>GETPIVOTDATA("Sum of Charge per FTE ($64)",$A$4,"Control Unit Description","Schools","Division Description","School of Public Health")</f>
        <v>30144</v>
      </c>
      <c r="I47" s="16">
        <v>71410</v>
      </c>
      <c r="J47" s="17" t="s">
        <v>131</v>
      </c>
    </row>
    <row r="48" spans="1:10" x14ac:dyDescent="0.25">
      <c r="A48" s="13" t="s">
        <v>51</v>
      </c>
      <c r="B48" s="58">
        <v>131</v>
      </c>
      <c r="C48" s="4">
        <v>8384</v>
      </c>
      <c r="E48" s="41" t="s">
        <v>186</v>
      </c>
      <c r="F48" s="39" t="s">
        <v>132</v>
      </c>
      <c r="G48" s="44" t="s">
        <v>127</v>
      </c>
      <c r="H48" s="45">
        <f>GETPIVOTDATA("Sum of Charge per FTE ($64)",$A$4,"Control Unit Description","Schools","Division Description","School of Social Welfare")</f>
        <v>8384</v>
      </c>
      <c r="I48" s="16">
        <v>71410</v>
      </c>
      <c r="J48" s="17" t="s">
        <v>131</v>
      </c>
    </row>
    <row r="49" spans="1:10" x14ac:dyDescent="0.25">
      <c r="A49" s="13" t="s">
        <v>226</v>
      </c>
      <c r="B49" s="58">
        <v>70</v>
      </c>
      <c r="C49" s="4">
        <v>4480</v>
      </c>
      <c r="E49" s="41" t="s">
        <v>138</v>
      </c>
      <c r="F49" s="39" t="s">
        <v>132</v>
      </c>
      <c r="G49" s="44" t="s">
        <v>105</v>
      </c>
      <c r="H49" s="45">
        <f>GETPIVOTDATA("Sum of Charge per FTE ($64)",$A$4,"Control Unit Description","Schools","Division Description","Goldman Sch of Public Policy")</f>
        <v>4480</v>
      </c>
      <c r="I49" s="16"/>
      <c r="J49" s="17"/>
    </row>
    <row r="50" spans="1:10" x14ac:dyDescent="0.25">
      <c r="A50" s="12" t="s">
        <v>245</v>
      </c>
      <c r="B50" s="58">
        <v>36</v>
      </c>
      <c r="C50" s="4">
        <v>2304</v>
      </c>
      <c r="E50" s="100"/>
      <c r="J50" s="70"/>
    </row>
    <row r="51" spans="1:10" x14ac:dyDescent="0.25">
      <c r="A51" s="13" t="s">
        <v>225</v>
      </c>
      <c r="B51" s="58">
        <v>4.5</v>
      </c>
      <c r="C51" s="4">
        <v>288</v>
      </c>
      <c r="E51" s="41" t="s">
        <v>190</v>
      </c>
      <c r="F51" s="39" t="s">
        <v>132</v>
      </c>
      <c r="G51" s="44" t="s">
        <v>109</v>
      </c>
      <c r="H51" s="45">
        <f>GETPIVOTDATA("Sum of Charge per FTE ($64)",$A$4,"Control Unit Description","Research, Policy, Planng &amp; Adm","Division Description","VP Divisionwide Prov &amp; Expense")</f>
        <v>288</v>
      </c>
      <c r="I51" s="16">
        <v>71410</v>
      </c>
      <c r="J51" s="17" t="s">
        <v>131</v>
      </c>
    </row>
    <row r="52" spans="1:10" x14ac:dyDescent="0.25">
      <c r="A52" s="13" t="s">
        <v>224</v>
      </c>
      <c r="B52" s="58">
        <v>30.5</v>
      </c>
      <c r="C52" s="4">
        <v>1952</v>
      </c>
      <c r="E52" s="41" t="s">
        <v>190</v>
      </c>
      <c r="F52" s="39" t="s">
        <v>132</v>
      </c>
      <c r="G52" s="44" t="s">
        <v>109</v>
      </c>
      <c r="H52" s="45">
        <f>GETPIVOTDATA("Sum of Charge per FTE ($64)",$A$4,"Control Unit Description","Research, Policy, Planng &amp; Adm","Division Description","VP Agriculture&amp; Natural Resour")</f>
        <v>1952</v>
      </c>
      <c r="I52" s="16">
        <v>71410</v>
      </c>
      <c r="J52" s="17" t="s">
        <v>131</v>
      </c>
    </row>
    <row r="53" spans="1:10" ht="15.75" thickBot="1" x14ac:dyDescent="0.3">
      <c r="A53" s="13" t="s">
        <v>229</v>
      </c>
      <c r="B53" s="58">
        <v>1</v>
      </c>
      <c r="C53" s="4">
        <v>64</v>
      </c>
      <c r="E53" s="43" t="s">
        <v>190</v>
      </c>
      <c r="F53" s="40" t="s">
        <v>132</v>
      </c>
      <c r="G53" s="46" t="s">
        <v>109</v>
      </c>
      <c r="H53" s="47">
        <f>GETPIVOTDATA("Sum of Charge per FTE ($64)",$A$4,"Control Unit Description","Research, Policy, Planng &amp; Adm","Division Description","VP Research - MRUs")</f>
        <v>64</v>
      </c>
      <c r="I53" s="18">
        <v>71410</v>
      </c>
      <c r="J53" s="19" t="s">
        <v>131</v>
      </c>
    </row>
    <row r="54" spans="1:10" x14ac:dyDescent="0.25">
      <c r="A54" s="12" t="s">
        <v>129</v>
      </c>
      <c r="B54" s="58">
        <v>16019.5</v>
      </c>
      <c r="C54" s="4">
        <v>1025248</v>
      </c>
      <c r="E54" s="35"/>
      <c r="F54" s="35"/>
      <c r="G54" s="36"/>
      <c r="H54" s="37">
        <f>SUM(H5:H53)</f>
        <v>1025248</v>
      </c>
      <c r="I54" s="38"/>
      <c r="J54" s="38"/>
    </row>
    <row r="55" spans="1:10" x14ac:dyDescent="0.25">
      <c r="E55" s="35"/>
      <c r="F55" s="35"/>
      <c r="G55" s="36"/>
      <c r="H55" s="36"/>
      <c r="I55" s="38"/>
      <c r="J55" s="38"/>
    </row>
    <row r="56" spans="1:10" x14ac:dyDescent="0.25">
      <c r="H56" s="53"/>
    </row>
  </sheetData>
  <pageMargins left="0.5" right="0.5" top="0.25" bottom="0.25" header="0.3" footer="0.3"/>
  <pageSetup scale="70" orientation="landscape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'[1]Allowable Funds'!#REF!</xm:f>
          </x14:formula1>
          <xm:sqref>G8:G11 G13:G14 G16 G28:G31 G34:G36 G38:G49</xm:sqref>
        </x14:dataValidation>
        <x14:dataValidation type="list" allowBlank="1" showInputMessage="1" showErrorMessage="1">
          <x14:formula1>
            <xm:f>'[1]Allowable Funds'!#REF!</xm:f>
          </x14:formula1>
          <xm:sqref>G12 G37</xm:sqref>
        </x14:dataValidation>
        <x14:dataValidation type="list" allowBlank="1" showInputMessage="1" showErrorMessage="1">
          <x14:formula1>
            <xm:f>'Allowable Funds'!$H$2:$H$9</xm:f>
          </x14:formula1>
          <xm:sqref>G51:G53</xm:sqref>
        </x14:dataValidation>
        <x14:dataValidation type="list" allowBlank="1" showInputMessage="1" showErrorMessage="1">
          <x14:formula1>
            <xm:f>'Allowable Funds'!$H$2:$H$9</xm:f>
          </x14:formula1>
          <xm:sqref>G32:G33</xm:sqref>
        </x14:dataValidation>
        <x14:dataValidation type="list" allowBlank="1" showInputMessage="1" showErrorMessage="1">
          <x14:formula1>
            <xm:f>'Allowable Funds'!$H$2:$H$9</xm:f>
          </x14:formula1>
          <xm:sqref>G21:G26</xm:sqref>
        </x14:dataValidation>
        <x14:dataValidation type="list" allowBlank="1" showInputMessage="1" showErrorMessage="1">
          <x14:formula1>
            <xm:f>'Allowable Funds'!$H$2:$H$9</xm:f>
          </x14:formula1>
          <xm:sqref>G17:G19</xm:sqref>
        </x14:dataValidation>
        <x14:dataValidation type="list" allowBlank="1" showInputMessage="1" showErrorMessage="1">
          <x14:formula1>
            <xm:f>'Allowable Funds'!$H$2:$H$9</xm:f>
          </x14:formula1>
          <xm:sqref>G6:G7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/>
  </sheetViews>
  <sheetFormatPr defaultRowHeight="15" x14ac:dyDescent="0.25"/>
  <cols>
    <col min="1" max="1" width="11.85546875" style="11" bestFit="1" customWidth="1"/>
    <col min="2" max="2" width="21.5703125" style="10" bestFit="1" customWidth="1"/>
    <col min="3" max="3" width="19.5703125" style="10" bestFit="1" customWidth="1"/>
    <col min="4" max="4" width="16.85546875" style="10" bestFit="1" customWidth="1"/>
    <col min="5" max="5" width="28.7109375" style="10" bestFit="1" customWidth="1"/>
    <col min="6" max="6" width="6" style="10" bestFit="1" customWidth="1"/>
    <col min="7" max="7" width="34.7109375" style="10" bestFit="1" customWidth="1"/>
    <col min="8" max="8" width="41.42578125" style="10" bestFit="1" customWidth="1"/>
    <col min="9" max="16384" width="9.140625" style="10"/>
  </cols>
  <sheetData>
    <row r="1" spans="1:8" x14ac:dyDescent="0.25">
      <c r="A1" s="8" t="s">
        <v>94</v>
      </c>
      <c r="B1" s="9" t="s">
        <v>95</v>
      </c>
      <c r="C1" s="9" t="s">
        <v>96</v>
      </c>
      <c r="D1" s="9" t="s">
        <v>97</v>
      </c>
      <c r="E1" s="9" t="s">
        <v>98</v>
      </c>
      <c r="F1" s="9" t="s">
        <v>77</v>
      </c>
      <c r="G1" s="9" t="s">
        <v>99</v>
      </c>
      <c r="H1" s="9" t="s">
        <v>100</v>
      </c>
    </row>
    <row r="2" spans="1:8" x14ac:dyDescent="0.25">
      <c r="A2" s="11">
        <v>401000</v>
      </c>
      <c r="B2" s="10" t="s">
        <v>101</v>
      </c>
      <c r="C2" s="10" t="s">
        <v>101</v>
      </c>
      <c r="D2" s="10" t="s">
        <v>102</v>
      </c>
      <c r="E2" s="10" t="s">
        <v>103</v>
      </c>
      <c r="F2" s="10">
        <v>19900</v>
      </c>
      <c r="G2" s="10" t="s">
        <v>104</v>
      </c>
      <c r="H2" s="10" t="s">
        <v>105</v>
      </c>
    </row>
    <row r="3" spans="1:8" x14ac:dyDescent="0.25">
      <c r="A3" s="11">
        <v>401000</v>
      </c>
      <c r="B3" s="10" t="s">
        <v>101</v>
      </c>
      <c r="C3" s="10" t="s">
        <v>101</v>
      </c>
      <c r="D3" s="10" t="s">
        <v>106</v>
      </c>
      <c r="E3" s="10" t="s">
        <v>107</v>
      </c>
      <c r="F3" s="10">
        <v>19933</v>
      </c>
      <c r="G3" s="10" t="s">
        <v>108</v>
      </c>
      <c r="H3" s="10" t="s">
        <v>109</v>
      </c>
    </row>
    <row r="4" spans="1:8" x14ac:dyDescent="0.25">
      <c r="A4" s="11">
        <v>403120</v>
      </c>
      <c r="B4" s="10" t="s">
        <v>110</v>
      </c>
      <c r="C4" s="10" t="s">
        <v>111</v>
      </c>
      <c r="D4" s="10" t="s">
        <v>112</v>
      </c>
      <c r="E4" s="10" t="s">
        <v>113</v>
      </c>
      <c r="F4" s="10">
        <v>20095</v>
      </c>
      <c r="G4" s="10" t="s">
        <v>114</v>
      </c>
      <c r="H4" s="10" t="s">
        <v>115</v>
      </c>
    </row>
    <row r="5" spans="1:8" x14ac:dyDescent="0.25">
      <c r="A5" s="11">
        <v>401000</v>
      </c>
      <c r="B5" s="10" t="s">
        <v>101</v>
      </c>
      <c r="C5" s="10" t="s">
        <v>101</v>
      </c>
      <c r="D5" s="10" t="s">
        <v>102</v>
      </c>
      <c r="E5" s="10" t="s">
        <v>103</v>
      </c>
      <c r="F5" s="10">
        <v>19942</v>
      </c>
      <c r="G5" s="10" t="s">
        <v>250</v>
      </c>
      <c r="H5" s="10" t="s">
        <v>251</v>
      </c>
    </row>
    <row r="6" spans="1:8" x14ac:dyDescent="0.25">
      <c r="A6" s="11">
        <v>409190</v>
      </c>
      <c r="B6" s="10" t="s">
        <v>116</v>
      </c>
      <c r="C6" s="10" t="s">
        <v>117</v>
      </c>
      <c r="D6" s="10" t="s">
        <v>118</v>
      </c>
      <c r="E6" s="10" t="s">
        <v>119</v>
      </c>
      <c r="F6" s="10">
        <v>65900</v>
      </c>
      <c r="G6" s="10" t="s">
        <v>121</v>
      </c>
      <c r="H6" s="10" t="s">
        <v>122</v>
      </c>
    </row>
    <row r="7" spans="1:8" x14ac:dyDescent="0.25">
      <c r="A7" s="11">
        <v>410290</v>
      </c>
      <c r="B7" s="10" t="s">
        <v>123</v>
      </c>
      <c r="C7" s="10" t="s">
        <v>117</v>
      </c>
      <c r="D7" s="10" t="s">
        <v>118</v>
      </c>
      <c r="E7" s="10" t="s">
        <v>119</v>
      </c>
      <c r="F7" s="10">
        <v>68600</v>
      </c>
      <c r="G7" s="10" t="s">
        <v>248</v>
      </c>
      <c r="H7" s="10" t="s">
        <v>252</v>
      </c>
    </row>
    <row r="8" spans="1:8" x14ac:dyDescent="0.25">
      <c r="A8" s="11">
        <v>410250</v>
      </c>
      <c r="B8" s="10" t="s">
        <v>123</v>
      </c>
      <c r="C8" s="10" t="s">
        <v>117</v>
      </c>
      <c r="D8" s="10" t="s">
        <v>118</v>
      </c>
      <c r="E8" s="10" t="s">
        <v>254</v>
      </c>
      <c r="F8" s="10">
        <v>69750</v>
      </c>
      <c r="G8" s="10" t="s">
        <v>249</v>
      </c>
      <c r="H8" s="10" t="s">
        <v>253</v>
      </c>
    </row>
    <row r="9" spans="1:8" x14ac:dyDescent="0.25">
      <c r="A9" s="11">
        <v>410290</v>
      </c>
      <c r="B9" s="10" t="s">
        <v>123</v>
      </c>
      <c r="C9" s="10" t="s">
        <v>117</v>
      </c>
      <c r="D9" s="10" t="s">
        <v>118</v>
      </c>
      <c r="E9" s="10" t="s">
        <v>119</v>
      </c>
      <c r="F9" s="10">
        <v>69799</v>
      </c>
      <c r="G9" s="10" t="s">
        <v>126</v>
      </c>
      <c r="H9" s="10" t="s">
        <v>127</v>
      </c>
    </row>
  </sheetData>
  <pageMargins left="0.25" right="0.25" top="0.75" bottom="0.75" header="0.3" footer="0.3"/>
  <pageSetup paperSize="256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43" sqref="A43"/>
    </sheetView>
  </sheetViews>
  <sheetFormatPr defaultRowHeight="15" x14ac:dyDescent="0.25"/>
  <cols>
    <col min="1" max="2" width="40.5703125" customWidth="1"/>
    <col min="3" max="4" width="18" style="54" customWidth="1"/>
    <col min="5" max="5" width="16.140625" style="54" customWidth="1"/>
    <col min="6" max="6" width="14.28515625" style="102" customWidth="1"/>
  </cols>
  <sheetData>
    <row r="1" spans="1:6" ht="30.75" thickBot="1" x14ac:dyDescent="0.3">
      <c r="A1" s="2" t="s">
        <v>2</v>
      </c>
      <c r="B1" s="2" t="s">
        <v>4</v>
      </c>
      <c r="C1" s="57">
        <v>42461</v>
      </c>
      <c r="D1" s="57">
        <v>42644</v>
      </c>
      <c r="E1" s="56" t="s">
        <v>5</v>
      </c>
      <c r="F1" s="101" t="s">
        <v>180</v>
      </c>
    </row>
    <row r="2" spans="1:6" x14ac:dyDescent="0.25">
      <c r="A2" t="s">
        <v>206</v>
      </c>
      <c r="B2" t="s">
        <v>152</v>
      </c>
      <c r="C2" s="54">
        <v>2024</v>
      </c>
      <c r="D2" s="54">
        <v>1854</v>
      </c>
      <c r="E2" s="54">
        <f>AVERAGE(C2:D2)</f>
        <v>1939</v>
      </c>
      <c r="F2" s="102">
        <f>E2*64</f>
        <v>124096</v>
      </c>
    </row>
    <row r="3" spans="1:6" x14ac:dyDescent="0.25">
      <c r="A3" t="s">
        <v>206</v>
      </c>
      <c r="B3" t="s">
        <v>42</v>
      </c>
      <c r="C3" s="54">
        <v>68</v>
      </c>
      <c r="D3" s="54">
        <v>75</v>
      </c>
      <c r="E3" s="54">
        <f t="shared" ref="E3:E44" si="0">AVERAGE(C3:D3)</f>
        <v>71.5</v>
      </c>
      <c r="F3" s="102">
        <f t="shared" ref="F3:F44" si="1">E3*64</f>
        <v>4576</v>
      </c>
    </row>
    <row r="4" spans="1:6" x14ac:dyDescent="0.25">
      <c r="A4" t="s">
        <v>206</v>
      </c>
      <c r="B4" t="s">
        <v>208</v>
      </c>
      <c r="C4" s="54">
        <v>287</v>
      </c>
      <c r="D4" s="54">
        <v>298</v>
      </c>
      <c r="E4" s="54">
        <f t="shared" si="0"/>
        <v>292.5</v>
      </c>
      <c r="F4" s="102">
        <f t="shared" si="1"/>
        <v>18720</v>
      </c>
    </row>
    <row r="5" spans="1:6" x14ac:dyDescent="0.25">
      <c r="A5" t="s">
        <v>206</v>
      </c>
      <c r="B5" t="s">
        <v>222</v>
      </c>
      <c r="C5" s="54">
        <v>128</v>
      </c>
      <c r="D5" s="54">
        <v>134</v>
      </c>
      <c r="E5" s="54">
        <f t="shared" si="0"/>
        <v>131</v>
      </c>
      <c r="F5" s="102">
        <f t="shared" si="1"/>
        <v>8384</v>
      </c>
    </row>
    <row r="6" spans="1:6" x14ac:dyDescent="0.25">
      <c r="A6" t="s">
        <v>206</v>
      </c>
      <c r="B6" t="s">
        <v>223</v>
      </c>
      <c r="C6" s="54">
        <v>100</v>
      </c>
      <c r="D6" s="54">
        <v>98</v>
      </c>
      <c r="E6" s="54">
        <f t="shared" si="0"/>
        <v>99</v>
      </c>
      <c r="F6" s="102">
        <f t="shared" si="1"/>
        <v>6336</v>
      </c>
    </row>
    <row r="7" spans="1:6" x14ac:dyDescent="0.25">
      <c r="A7" t="s">
        <v>206</v>
      </c>
      <c r="B7" t="s">
        <v>231</v>
      </c>
      <c r="C7" s="54">
        <v>239</v>
      </c>
      <c r="D7" s="54">
        <v>248</v>
      </c>
      <c r="E7" s="54">
        <f t="shared" si="0"/>
        <v>243.5</v>
      </c>
      <c r="F7" s="102">
        <f t="shared" si="1"/>
        <v>15584</v>
      </c>
    </row>
    <row r="8" spans="1:6" x14ac:dyDescent="0.25">
      <c r="A8" t="s">
        <v>206</v>
      </c>
      <c r="B8" t="s">
        <v>153</v>
      </c>
      <c r="C8" s="54">
        <v>552</v>
      </c>
      <c r="D8" s="54">
        <v>598</v>
      </c>
      <c r="E8" s="54">
        <f t="shared" si="0"/>
        <v>575</v>
      </c>
      <c r="F8" s="102">
        <f t="shared" si="1"/>
        <v>36800</v>
      </c>
    </row>
    <row r="9" spans="1:6" x14ac:dyDescent="0.25">
      <c r="A9" t="s">
        <v>206</v>
      </c>
      <c r="B9" t="s">
        <v>156</v>
      </c>
      <c r="C9" s="54">
        <v>1493</v>
      </c>
      <c r="D9" s="54">
        <v>1469</v>
      </c>
      <c r="E9" s="54">
        <f t="shared" si="0"/>
        <v>1481</v>
      </c>
      <c r="F9" s="102">
        <f t="shared" si="1"/>
        <v>94784</v>
      </c>
    </row>
    <row r="10" spans="1:6" x14ac:dyDescent="0.25">
      <c r="A10" t="s">
        <v>206</v>
      </c>
      <c r="B10" t="s">
        <v>230</v>
      </c>
      <c r="C10" s="54">
        <v>246</v>
      </c>
      <c r="D10" s="54">
        <v>263</v>
      </c>
      <c r="E10" s="54">
        <f t="shared" si="0"/>
        <v>254.5</v>
      </c>
      <c r="F10" s="102">
        <f t="shared" si="1"/>
        <v>16288</v>
      </c>
    </row>
    <row r="11" spans="1:6" x14ac:dyDescent="0.25">
      <c r="A11" t="s">
        <v>239</v>
      </c>
      <c r="B11" t="s">
        <v>30</v>
      </c>
      <c r="C11">
        <v>201</v>
      </c>
      <c r="D11">
        <v>224</v>
      </c>
      <c r="E11" s="54">
        <f t="shared" si="0"/>
        <v>212.5</v>
      </c>
      <c r="F11" s="102">
        <f t="shared" si="1"/>
        <v>13600</v>
      </c>
    </row>
    <row r="12" spans="1:6" x14ac:dyDescent="0.25">
      <c r="A12" t="s">
        <v>239</v>
      </c>
      <c r="B12" t="s">
        <v>75</v>
      </c>
      <c r="C12">
        <v>383</v>
      </c>
      <c r="D12">
        <v>364</v>
      </c>
      <c r="E12" s="54">
        <f t="shared" si="0"/>
        <v>373.5</v>
      </c>
      <c r="F12" s="102">
        <f t="shared" si="1"/>
        <v>23904</v>
      </c>
    </row>
    <row r="13" spans="1:6" x14ac:dyDescent="0.25">
      <c r="A13" t="s">
        <v>239</v>
      </c>
      <c r="B13" t="s">
        <v>35</v>
      </c>
      <c r="C13">
        <v>1179</v>
      </c>
      <c r="D13">
        <v>1143</v>
      </c>
      <c r="E13" s="54">
        <f t="shared" si="0"/>
        <v>1161</v>
      </c>
      <c r="F13" s="102">
        <f t="shared" si="1"/>
        <v>74304</v>
      </c>
    </row>
    <row r="14" spans="1:6" x14ac:dyDescent="0.25">
      <c r="A14" t="s">
        <v>239</v>
      </c>
      <c r="B14" t="s">
        <v>32</v>
      </c>
      <c r="C14">
        <v>516</v>
      </c>
      <c r="D14">
        <v>542</v>
      </c>
      <c r="E14" s="54">
        <f t="shared" si="0"/>
        <v>529</v>
      </c>
      <c r="F14" s="102">
        <f t="shared" si="1"/>
        <v>33856</v>
      </c>
    </row>
    <row r="15" spans="1:6" x14ac:dyDescent="0.25">
      <c r="A15" t="s">
        <v>240</v>
      </c>
      <c r="B15" t="s">
        <v>14</v>
      </c>
      <c r="C15">
        <v>886</v>
      </c>
      <c r="D15">
        <v>859</v>
      </c>
      <c r="E15" s="54">
        <f t="shared" si="0"/>
        <v>872.5</v>
      </c>
      <c r="F15" s="102">
        <f t="shared" si="1"/>
        <v>55840</v>
      </c>
    </row>
    <row r="16" spans="1:6" x14ac:dyDescent="0.25">
      <c r="A16" t="s">
        <v>240</v>
      </c>
      <c r="B16" t="s">
        <v>12</v>
      </c>
      <c r="C16">
        <v>643</v>
      </c>
      <c r="D16">
        <v>647</v>
      </c>
      <c r="E16" s="54">
        <f t="shared" si="0"/>
        <v>645</v>
      </c>
      <c r="F16" s="102">
        <f t="shared" si="1"/>
        <v>41280</v>
      </c>
    </row>
    <row r="17" spans="1:6" x14ac:dyDescent="0.25">
      <c r="A17" t="s">
        <v>240</v>
      </c>
      <c r="B17" t="s">
        <v>157</v>
      </c>
      <c r="C17">
        <v>56</v>
      </c>
      <c r="D17">
        <v>58</v>
      </c>
      <c r="E17" s="54">
        <f t="shared" si="0"/>
        <v>57</v>
      </c>
      <c r="F17" s="102">
        <f t="shared" si="1"/>
        <v>3648</v>
      </c>
    </row>
    <row r="18" spans="1:6" x14ac:dyDescent="0.25">
      <c r="A18" t="s">
        <v>240</v>
      </c>
      <c r="B18" t="s">
        <v>227</v>
      </c>
      <c r="C18">
        <v>614</v>
      </c>
      <c r="D18">
        <v>622</v>
      </c>
      <c r="E18" s="54">
        <f t="shared" si="0"/>
        <v>618</v>
      </c>
      <c r="F18" s="102">
        <f t="shared" si="1"/>
        <v>39552</v>
      </c>
    </row>
    <row r="19" spans="1:6" x14ac:dyDescent="0.25">
      <c r="A19" t="s">
        <v>240</v>
      </c>
      <c r="B19" t="s">
        <v>18</v>
      </c>
      <c r="C19">
        <v>815</v>
      </c>
      <c r="D19">
        <v>823</v>
      </c>
      <c r="E19" s="54">
        <f t="shared" si="0"/>
        <v>819</v>
      </c>
      <c r="F19" s="102">
        <f t="shared" si="1"/>
        <v>52416</v>
      </c>
    </row>
    <row r="20" spans="1:6" x14ac:dyDescent="0.25">
      <c r="A20" t="s">
        <v>240</v>
      </c>
      <c r="B20" t="s">
        <v>20</v>
      </c>
      <c r="C20">
        <v>142</v>
      </c>
      <c r="D20">
        <v>137</v>
      </c>
      <c r="E20" s="54">
        <f t="shared" si="0"/>
        <v>139.5</v>
      </c>
      <c r="F20" s="102">
        <f t="shared" si="1"/>
        <v>8928</v>
      </c>
    </row>
    <row r="21" spans="1:6" x14ac:dyDescent="0.25">
      <c r="A21" t="s">
        <v>221</v>
      </c>
      <c r="B21" t="s">
        <v>144</v>
      </c>
      <c r="C21">
        <v>20</v>
      </c>
      <c r="D21">
        <v>20</v>
      </c>
      <c r="E21" s="54">
        <f t="shared" si="0"/>
        <v>20</v>
      </c>
      <c r="F21" s="102">
        <f t="shared" si="1"/>
        <v>1280</v>
      </c>
    </row>
    <row r="22" spans="1:6" x14ac:dyDescent="0.25">
      <c r="A22" t="s">
        <v>221</v>
      </c>
      <c r="B22" t="s">
        <v>24</v>
      </c>
      <c r="C22">
        <v>12</v>
      </c>
      <c r="D22">
        <v>11</v>
      </c>
      <c r="E22" s="54">
        <f t="shared" si="0"/>
        <v>11.5</v>
      </c>
      <c r="F22" s="102">
        <f t="shared" si="1"/>
        <v>736</v>
      </c>
    </row>
    <row r="23" spans="1:6" x14ac:dyDescent="0.25">
      <c r="A23" t="s">
        <v>221</v>
      </c>
      <c r="B23" t="s">
        <v>59</v>
      </c>
      <c r="C23">
        <v>56</v>
      </c>
      <c r="D23">
        <v>46</v>
      </c>
      <c r="E23" s="54">
        <f t="shared" si="0"/>
        <v>51</v>
      </c>
      <c r="F23" s="102">
        <f t="shared" si="1"/>
        <v>3264</v>
      </c>
    </row>
    <row r="24" spans="1:6" x14ac:dyDescent="0.25">
      <c r="A24" t="s">
        <v>221</v>
      </c>
      <c r="B24" t="s">
        <v>145</v>
      </c>
      <c r="C24">
        <v>18</v>
      </c>
      <c r="D24">
        <v>19</v>
      </c>
      <c r="E24" s="54">
        <f t="shared" si="0"/>
        <v>18.5</v>
      </c>
      <c r="F24" s="102">
        <f t="shared" si="1"/>
        <v>1184</v>
      </c>
    </row>
    <row r="25" spans="1:6" x14ac:dyDescent="0.25">
      <c r="A25" t="s">
        <v>221</v>
      </c>
      <c r="B25" t="s">
        <v>160</v>
      </c>
      <c r="C25">
        <v>11</v>
      </c>
      <c r="D25">
        <v>11</v>
      </c>
      <c r="E25" s="54">
        <f t="shared" si="0"/>
        <v>11</v>
      </c>
      <c r="F25" s="102">
        <f t="shared" si="1"/>
        <v>704</v>
      </c>
    </row>
    <row r="26" spans="1:6" x14ac:dyDescent="0.25">
      <c r="A26" t="s">
        <v>221</v>
      </c>
      <c r="B26" t="s">
        <v>228</v>
      </c>
      <c r="C26">
        <v>63</v>
      </c>
      <c r="D26">
        <v>63</v>
      </c>
      <c r="E26" s="54">
        <f t="shared" si="0"/>
        <v>63</v>
      </c>
      <c r="F26" s="102">
        <f t="shared" si="1"/>
        <v>4032</v>
      </c>
    </row>
    <row r="27" spans="1:6" x14ac:dyDescent="0.25">
      <c r="A27" t="s">
        <v>221</v>
      </c>
      <c r="B27" t="s">
        <v>158</v>
      </c>
      <c r="C27">
        <v>354</v>
      </c>
      <c r="D27">
        <v>366</v>
      </c>
      <c r="E27" s="54">
        <f t="shared" si="0"/>
        <v>360</v>
      </c>
      <c r="F27" s="102">
        <f t="shared" si="1"/>
        <v>23040</v>
      </c>
    </row>
    <row r="28" spans="1:6" x14ac:dyDescent="0.25">
      <c r="A28" t="s">
        <v>221</v>
      </c>
      <c r="B28" t="s">
        <v>236</v>
      </c>
      <c r="C28">
        <v>171</v>
      </c>
      <c r="D28">
        <v>161</v>
      </c>
      <c r="E28" s="54">
        <f t="shared" si="0"/>
        <v>166</v>
      </c>
      <c r="F28" s="102">
        <f t="shared" si="1"/>
        <v>10624</v>
      </c>
    </row>
    <row r="29" spans="1:6" x14ac:dyDescent="0.25">
      <c r="A29" t="s">
        <v>221</v>
      </c>
      <c r="B29" t="s">
        <v>149</v>
      </c>
      <c r="C29">
        <v>1025</v>
      </c>
      <c r="D29">
        <v>1010</v>
      </c>
      <c r="E29" s="54">
        <f t="shared" si="0"/>
        <v>1017.5</v>
      </c>
      <c r="F29" s="102">
        <f t="shared" si="1"/>
        <v>65120</v>
      </c>
    </row>
    <row r="30" spans="1:6" x14ac:dyDescent="0.25">
      <c r="A30" t="s">
        <v>221</v>
      </c>
      <c r="B30" t="s">
        <v>155</v>
      </c>
      <c r="C30">
        <v>1010</v>
      </c>
      <c r="D30">
        <v>993</v>
      </c>
      <c r="E30" s="54">
        <f t="shared" si="0"/>
        <v>1001.5</v>
      </c>
      <c r="F30" s="102">
        <f t="shared" si="1"/>
        <v>64096</v>
      </c>
    </row>
    <row r="31" spans="1:6" x14ac:dyDescent="0.25">
      <c r="A31" t="s">
        <v>221</v>
      </c>
      <c r="B31" t="s">
        <v>235</v>
      </c>
      <c r="C31">
        <v>186</v>
      </c>
      <c r="D31">
        <v>158</v>
      </c>
      <c r="E31" s="54">
        <f t="shared" si="0"/>
        <v>172</v>
      </c>
      <c r="F31" s="102">
        <f t="shared" si="1"/>
        <v>11008</v>
      </c>
    </row>
    <row r="32" spans="1:6" x14ac:dyDescent="0.25">
      <c r="A32" t="s">
        <v>221</v>
      </c>
      <c r="B32" t="s">
        <v>234</v>
      </c>
      <c r="C32">
        <v>244</v>
      </c>
      <c r="D32">
        <v>233</v>
      </c>
      <c r="E32" s="54">
        <f t="shared" si="0"/>
        <v>238.5</v>
      </c>
      <c r="F32" s="102">
        <f t="shared" si="1"/>
        <v>15264</v>
      </c>
    </row>
    <row r="33" spans="1:6" x14ac:dyDescent="0.25">
      <c r="A33" t="s">
        <v>244</v>
      </c>
      <c r="B33" t="s">
        <v>26</v>
      </c>
      <c r="C33">
        <v>449</v>
      </c>
      <c r="D33">
        <v>440</v>
      </c>
      <c r="E33" s="54">
        <f t="shared" si="0"/>
        <v>444.5</v>
      </c>
      <c r="F33" s="102">
        <f t="shared" si="1"/>
        <v>28448</v>
      </c>
    </row>
    <row r="34" spans="1:6" x14ac:dyDescent="0.25">
      <c r="A34" t="s">
        <v>244</v>
      </c>
      <c r="B34" t="s">
        <v>226</v>
      </c>
      <c r="C34">
        <v>70</v>
      </c>
      <c r="D34">
        <v>70</v>
      </c>
      <c r="E34" s="54">
        <f t="shared" si="0"/>
        <v>70</v>
      </c>
      <c r="F34" s="102">
        <f t="shared" si="1"/>
        <v>4480</v>
      </c>
    </row>
    <row r="35" spans="1:6" x14ac:dyDescent="0.25">
      <c r="A35" t="s">
        <v>244</v>
      </c>
      <c r="B35" t="s">
        <v>49</v>
      </c>
      <c r="C35">
        <v>222</v>
      </c>
      <c r="D35">
        <v>216</v>
      </c>
      <c r="E35" s="54">
        <f t="shared" si="0"/>
        <v>219</v>
      </c>
      <c r="F35" s="102">
        <f t="shared" si="1"/>
        <v>14016</v>
      </c>
    </row>
    <row r="36" spans="1:6" x14ac:dyDescent="0.25">
      <c r="A36" t="s">
        <v>244</v>
      </c>
      <c r="B36" t="s">
        <v>40</v>
      </c>
      <c r="C36">
        <v>568</v>
      </c>
      <c r="D36">
        <v>549</v>
      </c>
      <c r="E36" s="54">
        <f t="shared" si="0"/>
        <v>558.5</v>
      </c>
      <c r="F36" s="102">
        <f t="shared" si="1"/>
        <v>35744</v>
      </c>
    </row>
    <row r="37" spans="1:6" x14ac:dyDescent="0.25">
      <c r="A37" t="s">
        <v>244</v>
      </c>
      <c r="B37" t="s">
        <v>55</v>
      </c>
      <c r="C37">
        <v>89</v>
      </c>
      <c r="D37">
        <v>96</v>
      </c>
      <c r="E37" s="54">
        <f t="shared" si="0"/>
        <v>92.5</v>
      </c>
      <c r="F37" s="102">
        <f t="shared" si="1"/>
        <v>5920</v>
      </c>
    </row>
    <row r="38" spans="1:6" x14ac:dyDescent="0.25">
      <c r="A38" t="s">
        <v>244</v>
      </c>
      <c r="B38" t="s">
        <v>53</v>
      </c>
      <c r="C38">
        <v>86</v>
      </c>
      <c r="D38">
        <v>77</v>
      </c>
      <c r="E38" s="54">
        <f t="shared" si="0"/>
        <v>81.5</v>
      </c>
      <c r="F38" s="102">
        <f t="shared" si="1"/>
        <v>5216</v>
      </c>
    </row>
    <row r="39" spans="1:6" x14ac:dyDescent="0.25">
      <c r="A39" t="s">
        <v>244</v>
      </c>
      <c r="B39" t="s">
        <v>45</v>
      </c>
      <c r="C39">
        <v>270</v>
      </c>
      <c r="D39">
        <v>272</v>
      </c>
      <c r="E39" s="54">
        <f t="shared" si="0"/>
        <v>271</v>
      </c>
      <c r="F39" s="102">
        <f t="shared" si="1"/>
        <v>17344</v>
      </c>
    </row>
    <row r="40" spans="1:6" x14ac:dyDescent="0.25">
      <c r="A40" t="s">
        <v>244</v>
      </c>
      <c r="B40" t="s">
        <v>47</v>
      </c>
      <c r="C40">
        <v>464</v>
      </c>
      <c r="D40">
        <v>478</v>
      </c>
      <c r="E40" s="54">
        <f t="shared" si="0"/>
        <v>471</v>
      </c>
      <c r="F40" s="102">
        <f t="shared" si="1"/>
        <v>30144</v>
      </c>
    </row>
    <row r="41" spans="1:6" x14ac:dyDescent="0.25">
      <c r="A41" t="s">
        <v>244</v>
      </c>
      <c r="B41" t="s">
        <v>51</v>
      </c>
      <c r="C41">
        <v>133</v>
      </c>
      <c r="D41">
        <v>129</v>
      </c>
      <c r="E41" s="54">
        <f t="shared" si="0"/>
        <v>131</v>
      </c>
      <c r="F41" s="102">
        <f t="shared" si="1"/>
        <v>8384</v>
      </c>
    </row>
    <row r="42" spans="1:6" x14ac:dyDescent="0.25">
      <c r="A42" t="s">
        <v>245</v>
      </c>
      <c r="B42" t="s">
        <v>229</v>
      </c>
      <c r="C42">
        <v>1</v>
      </c>
      <c r="D42">
        <v>1</v>
      </c>
      <c r="E42" s="54">
        <f t="shared" si="0"/>
        <v>1</v>
      </c>
      <c r="F42" s="102">
        <f t="shared" si="1"/>
        <v>64</v>
      </c>
    </row>
    <row r="43" spans="1:6" x14ac:dyDescent="0.25">
      <c r="A43" t="s">
        <v>245</v>
      </c>
      <c r="B43" t="s">
        <v>224</v>
      </c>
      <c r="C43">
        <v>29</v>
      </c>
      <c r="D43">
        <v>32</v>
      </c>
      <c r="E43" s="54">
        <f t="shared" si="0"/>
        <v>30.5</v>
      </c>
      <c r="F43" s="102">
        <f t="shared" si="1"/>
        <v>1952</v>
      </c>
    </row>
    <row r="44" spans="1:6" x14ac:dyDescent="0.25">
      <c r="A44" t="s">
        <v>245</v>
      </c>
      <c r="B44" t="s">
        <v>225</v>
      </c>
      <c r="C44">
        <v>5</v>
      </c>
      <c r="D44">
        <v>4</v>
      </c>
      <c r="E44" s="54">
        <f t="shared" si="0"/>
        <v>4.5</v>
      </c>
      <c r="F44" s="102">
        <f t="shared" si="1"/>
        <v>288</v>
      </c>
    </row>
    <row r="45" spans="1:6" x14ac:dyDescent="0.25">
      <c r="C45" s="93">
        <f>SUM(C2:C44)</f>
        <v>16128</v>
      </c>
      <c r="D45" s="93">
        <f>SUM(D2:D44)</f>
        <v>15911</v>
      </c>
      <c r="E45" s="93">
        <f>SUM(E1:E44)</f>
        <v>16019.5</v>
      </c>
      <c r="F45" s="103">
        <f>SUM(F2:F44)</f>
        <v>1025248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/>
  </sheetViews>
  <sheetFormatPr defaultRowHeight="15" x14ac:dyDescent="0.25"/>
  <cols>
    <col min="1" max="1" width="38.140625" customWidth="1"/>
  </cols>
  <sheetData>
    <row r="1" spans="1:3" x14ac:dyDescent="0.25">
      <c r="A1" t="s">
        <v>128</v>
      </c>
      <c r="B1" t="s">
        <v>219</v>
      </c>
      <c r="C1" t="s">
        <v>220</v>
      </c>
    </row>
    <row r="2" spans="1:3" x14ac:dyDescent="0.25">
      <c r="A2" t="s">
        <v>206</v>
      </c>
    </row>
    <row r="3" spans="1:3" x14ac:dyDescent="0.25">
      <c r="A3" t="s">
        <v>152</v>
      </c>
      <c r="B3">
        <v>2024</v>
      </c>
      <c r="C3">
        <v>1854</v>
      </c>
    </row>
    <row r="4" spans="1:3" x14ac:dyDescent="0.25">
      <c r="A4" t="s">
        <v>42</v>
      </c>
      <c r="B4">
        <v>68</v>
      </c>
      <c r="C4">
        <v>75</v>
      </c>
    </row>
    <row r="5" spans="1:3" x14ac:dyDescent="0.25">
      <c r="A5" t="s">
        <v>208</v>
      </c>
      <c r="B5">
        <v>287</v>
      </c>
      <c r="C5">
        <v>298</v>
      </c>
    </row>
    <row r="6" spans="1:3" x14ac:dyDescent="0.25">
      <c r="A6" t="s">
        <v>222</v>
      </c>
      <c r="B6">
        <v>128</v>
      </c>
      <c r="C6">
        <v>134</v>
      </c>
    </row>
    <row r="7" spans="1:3" x14ac:dyDescent="0.25">
      <c r="A7" t="s">
        <v>223</v>
      </c>
      <c r="B7">
        <v>100</v>
      </c>
      <c r="C7">
        <v>98</v>
      </c>
    </row>
    <row r="8" spans="1:3" x14ac:dyDescent="0.25">
      <c r="A8" t="s">
        <v>231</v>
      </c>
      <c r="B8">
        <v>239</v>
      </c>
      <c r="C8">
        <v>248</v>
      </c>
    </row>
    <row r="9" spans="1:3" x14ac:dyDescent="0.25">
      <c r="A9" t="s">
        <v>153</v>
      </c>
      <c r="B9">
        <v>552</v>
      </c>
      <c r="C9">
        <v>598</v>
      </c>
    </row>
    <row r="10" spans="1:3" x14ac:dyDescent="0.25">
      <c r="A10" t="s">
        <v>156</v>
      </c>
      <c r="B10">
        <v>1493</v>
      </c>
      <c r="C10">
        <v>1469</v>
      </c>
    </row>
    <row r="11" spans="1:3" x14ac:dyDescent="0.25">
      <c r="A11" t="s">
        <v>230</v>
      </c>
      <c r="B11">
        <v>246</v>
      </c>
      <c r="C11">
        <v>263</v>
      </c>
    </row>
    <row r="12" spans="1:3" x14ac:dyDescent="0.25">
      <c r="A12" t="s">
        <v>239</v>
      </c>
    </row>
    <row r="13" spans="1:3" x14ac:dyDescent="0.25">
      <c r="A13" t="s">
        <v>30</v>
      </c>
      <c r="B13">
        <v>201</v>
      </c>
      <c r="C13">
        <v>224</v>
      </c>
    </row>
    <row r="14" spans="1:3" x14ac:dyDescent="0.25">
      <c r="A14" t="s">
        <v>75</v>
      </c>
      <c r="B14">
        <v>383</v>
      </c>
      <c r="C14">
        <v>364</v>
      </c>
    </row>
    <row r="15" spans="1:3" x14ac:dyDescent="0.25">
      <c r="A15" t="s">
        <v>35</v>
      </c>
      <c r="B15">
        <v>1179</v>
      </c>
      <c r="C15">
        <v>1143</v>
      </c>
    </row>
    <row r="16" spans="1:3" x14ac:dyDescent="0.25">
      <c r="A16" t="s">
        <v>32</v>
      </c>
      <c r="B16">
        <v>516</v>
      </c>
      <c r="C16">
        <v>542</v>
      </c>
    </row>
    <row r="17" spans="1:3" x14ac:dyDescent="0.25">
      <c r="A17" t="s">
        <v>240</v>
      </c>
    </row>
    <row r="18" spans="1:3" x14ac:dyDescent="0.25">
      <c r="A18" t="s">
        <v>14</v>
      </c>
      <c r="B18">
        <v>886</v>
      </c>
      <c r="C18">
        <v>859</v>
      </c>
    </row>
    <row r="19" spans="1:3" x14ac:dyDescent="0.25">
      <c r="A19" t="s">
        <v>12</v>
      </c>
      <c r="B19">
        <v>643</v>
      </c>
      <c r="C19">
        <v>647</v>
      </c>
    </row>
    <row r="20" spans="1:3" x14ac:dyDescent="0.25">
      <c r="A20" t="s">
        <v>157</v>
      </c>
      <c r="B20">
        <v>56</v>
      </c>
      <c r="C20">
        <v>58</v>
      </c>
    </row>
    <row r="21" spans="1:3" x14ac:dyDescent="0.25">
      <c r="A21" t="s">
        <v>227</v>
      </c>
      <c r="B21">
        <v>614</v>
      </c>
      <c r="C21">
        <v>622</v>
      </c>
    </row>
    <row r="22" spans="1:3" x14ac:dyDescent="0.25">
      <c r="A22" t="s">
        <v>18</v>
      </c>
      <c r="B22">
        <v>815</v>
      </c>
      <c r="C22">
        <v>823</v>
      </c>
    </row>
    <row r="23" spans="1:3" x14ac:dyDescent="0.25">
      <c r="A23" t="s">
        <v>20</v>
      </c>
      <c r="B23">
        <v>142</v>
      </c>
      <c r="C23">
        <v>137</v>
      </c>
    </row>
    <row r="24" spans="1:3" x14ac:dyDescent="0.25">
      <c r="A24" t="s">
        <v>221</v>
      </c>
    </row>
    <row r="25" spans="1:3" x14ac:dyDescent="0.25">
      <c r="A25" t="s">
        <v>144</v>
      </c>
      <c r="B25">
        <v>20</v>
      </c>
      <c r="C25">
        <v>20</v>
      </c>
    </row>
    <row r="26" spans="1:3" x14ac:dyDescent="0.25">
      <c r="A26" t="s">
        <v>24</v>
      </c>
      <c r="B26">
        <v>12</v>
      </c>
      <c r="C26">
        <v>11</v>
      </c>
    </row>
    <row r="27" spans="1:3" x14ac:dyDescent="0.25">
      <c r="A27" t="s">
        <v>59</v>
      </c>
      <c r="B27">
        <v>56</v>
      </c>
      <c r="C27">
        <v>46</v>
      </c>
    </row>
    <row r="28" spans="1:3" x14ac:dyDescent="0.25">
      <c r="A28" t="s">
        <v>145</v>
      </c>
      <c r="B28">
        <v>18</v>
      </c>
      <c r="C28">
        <v>19</v>
      </c>
    </row>
    <row r="29" spans="1:3" x14ac:dyDescent="0.25">
      <c r="A29" t="s">
        <v>160</v>
      </c>
      <c r="B29">
        <v>11</v>
      </c>
      <c r="C29">
        <v>11</v>
      </c>
    </row>
    <row r="30" spans="1:3" x14ac:dyDescent="0.25">
      <c r="A30" t="s">
        <v>228</v>
      </c>
      <c r="B30">
        <v>63</v>
      </c>
      <c r="C30">
        <v>63</v>
      </c>
    </row>
    <row r="31" spans="1:3" x14ac:dyDescent="0.25">
      <c r="A31" t="s">
        <v>158</v>
      </c>
      <c r="B31">
        <v>354</v>
      </c>
      <c r="C31">
        <v>366</v>
      </c>
    </row>
    <row r="32" spans="1:3" x14ac:dyDescent="0.25">
      <c r="A32" t="s">
        <v>236</v>
      </c>
      <c r="B32">
        <v>171</v>
      </c>
      <c r="C32">
        <v>161</v>
      </c>
    </row>
    <row r="33" spans="1:3" x14ac:dyDescent="0.25">
      <c r="A33" t="s">
        <v>149</v>
      </c>
      <c r="B33">
        <v>1025</v>
      </c>
      <c r="C33">
        <v>1010</v>
      </c>
    </row>
    <row r="34" spans="1:3" x14ac:dyDescent="0.25">
      <c r="A34" t="s">
        <v>245</v>
      </c>
    </row>
    <row r="35" spans="1:3" x14ac:dyDescent="0.25">
      <c r="A35" t="s">
        <v>155</v>
      </c>
      <c r="B35">
        <v>1010</v>
      </c>
      <c r="C35">
        <v>993</v>
      </c>
    </row>
    <row r="36" spans="1:3" x14ac:dyDescent="0.25">
      <c r="A36" t="s">
        <v>235</v>
      </c>
      <c r="B36">
        <v>186</v>
      </c>
      <c r="C36">
        <v>158</v>
      </c>
    </row>
    <row r="37" spans="1:3" x14ac:dyDescent="0.25">
      <c r="A37" t="s">
        <v>234</v>
      </c>
      <c r="B37">
        <v>244</v>
      </c>
      <c r="C37">
        <v>233</v>
      </c>
    </row>
    <row r="38" spans="1:3" x14ac:dyDescent="0.25">
      <c r="A38" t="s">
        <v>244</v>
      </c>
    </row>
    <row r="39" spans="1:3" x14ac:dyDescent="0.25">
      <c r="A39" t="s">
        <v>26</v>
      </c>
      <c r="B39">
        <v>449</v>
      </c>
      <c r="C39">
        <v>440</v>
      </c>
    </row>
    <row r="40" spans="1:3" x14ac:dyDescent="0.25">
      <c r="A40" t="s">
        <v>226</v>
      </c>
      <c r="B40">
        <v>70</v>
      </c>
      <c r="C40">
        <v>70</v>
      </c>
    </row>
    <row r="41" spans="1:3" x14ac:dyDescent="0.25">
      <c r="A41" t="s">
        <v>49</v>
      </c>
      <c r="B41">
        <v>222</v>
      </c>
      <c r="C41">
        <v>216</v>
      </c>
    </row>
    <row r="42" spans="1:3" x14ac:dyDescent="0.25">
      <c r="A42" t="s">
        <v>40</v>
      </c>
      <c r="B42">
        <v>568</v>
      </c>
      <c r="C42">
        <v>549</v>
      </c>
    </row>
    <row r="43" spans="1:3" x14ac:dyDescent="0.25">
      <c r="A43" t="s">
        <v>55</v>
      </c>
      <c r="B43">
        <v>89</v>
      </c>
      <c r="C43">
        <v>96</v>
      </c>
    </row>
    <row r="44" spans="1:3" x14ac:dyDescent="0.25">
      <c r="A44" t="s">
        <v>53</v>
      </c>
      <c r="B44">
        <v>86</v>
      </c>
      <c r="C44">
        <v>77</v>
      </c>
    </row>
    <row r="45" spans="1:3" x14ac:dyDescent="0.25">
      <c r="A45" t="s">
        <v>45</v>
      </c>
      <c r="B45">
        <v>270</v>
      </c>
      <c r="C45">
        <v>272</v>
      </c>
    </row>
    <row r="46" spans="1:3" x14ac:dyDescent="0.25">
      <c r="A46" t="s">
        <v>47</v>
      </c>
      <c r="B46">
        <v>464</v>
      </c>
      <c r="C46">
        <v>478</v>
      </c>
    </row>
    <row r="47" spans="1:3" x14ac:dyDescent="0.25">
      <c r="A47" t="s">
        <v>51</v>
      </c>
      <c r="B47">
        <v>133</v>
      </c>
      <c r="C47">
        <v>129</v>
      </c>
    </row>
    <row r="48" spans="1:3" x14ac:dyDescent="0.25">
      <c r="A48" t="s">
        <v>229</v>
      </c>
      <c r="B48">
        <v>1</v>
      </c>
      <c r="C48">
        <v>1</v>
      </c>
    </row>
    <row r="49" spans="1:3" x14ac:dyDescent="0.25">
      <c r="A49" t="s">
        <v>224</v>
      </c>
    </row>
    <row r="50" spans="1:3" x14ac:dyDescent="0.25">
      <c r="A50" t="s">
        <v>224</v>
      </c>
      <c r="B50">
        <v>29</v>
      </c>
      <c r="C50">
        <v>32</v>
      </c>
    </row>
    <row r="51" spans="1:3" x14ac:dyDescent="0.25">
      <c r="A51" t="s">
        <v>225</v>
      </c>
      <c r="B51">
        <v>5</v>
      </c>
      <c r="C51">
        <v>4</v>
      </c>
    </row>
    <row r="52" spans="1:3" x14ac:dyDescent="0.25">
      <c r="A52" t="s">
        <v>129</v>
      </c>
      <c r="B52">
        <f>SUM(B3:B51)</f>
        <v>16128</v>
      </c>
      <c r="C52">
        <f>SUM(C3:C51)</f>
        <v>15911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6" workbookViewId="0">
      <selection activeCell="A42" sqref="A42"/>
    </sheetView>
  </sheetViews>
  <sheetFormatPr defaultRowHeight="15" x14ac:dyDescent="0.25"/>
  <cols>
    <col min="1" max="1" width="12.85546875" customWidth="1"/>
    <col min="2" max="2" width="34.42578125" customWidth="1"/>
    <col min="3" max="3" width="10.85546875" style="7" customWidth="1"/>
    <col min="4" max="4" width="34.140625" customWidth="1"/>
    <col min="5" max="6" width="13.28515625" style="54" customWidth="1"/>
    <col min="7" max="7" width="13.42578125" customWidth="1"/>
    <col min="8" max="8" width="16.85546875" style="4" customWidth="1"/>
  </cols>
  <sheetData>
    <row r="1" spans="1:8" ht="21" x14ac:dyDescent="0.35">
      <c r="A1" s="3" t="s">
        <v>0</v>
      </c>
      <c r="G1" s="54"/>
    </row>
    <row r="2" spans="1:8" x14ac:dyDescent="0.25">
      <c r="G2" s="54"/>
    </row>
    <row r="3" spans="1:8" ht="30" x14ac:dyDescent="0.25">
      <c r="E3" s="55" t="s">
        <v>76</v>
      </c>
      <c r="F3" s="55"/>
      <c r="G3" s="92"/>
    </row>
    <row r="4" spans="1:8" s="1" customFormat="1" ht="30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57">
        <v>42461</v>
      </c>
      <c r="F4" s="57">
        <v>42644</v>
      </c>
      <c r="G4" s="56" t="s">
        <v>5</v>
      </c>
      <c r="H4" s="5" t="s">
        <v>180</v>
      </c>
    </row>
    <row r="5" spans="1:8" x14ac:dyDescent="0.25">
      <c r="A5" t="s">
        <v>205</v>
      </c>
      <c r="B5" t="s">
        <v>206</v>
      </c>
      <c r="C5" s="7" t="s">
        <v>207</v>
      </c>
      <c r="D5" t="s">
        <v>208</v>
      </c>
      <c r="E5" s="54">
        <v>549</v>
      </c>
      <c r="F5" s="54">
        <v>298</v>
      </c>
      <c r="G5">
        <f>(E5+F5)/2</f>
        <v>423.5</v>
      </c>
      <c r="H5" s="4">
        <f>G5*64</f>
        <v>27104</v>
      </c>
    </row>
    <row r="6" spans="1:8" x14ac:dyDescent="0.25">
      <c r="A6" t="s">
        <v>205</v>
      </c>
      <c r="B6" t="s">
        <v>206</v>
      </c>
      <c r="C6" s="7" t="s">
        <v>27</v>
      </c>
      <c r="D6" t="s">
        <v>222</v>
      </c>
      <c r="E6" s="54">
        <v>300</v>
      </c>
      <c r="F6" s="54">
        <v>134</v>
      </c>
      <c r="G6">
        <f t="shared" ref="G6:G44" si="0">(E6+F6)/2</f>
        <v>217</v>
      </c>
      <c r="H6" s="4">
        <f t="shared" ref="H6:H44" si="1">G6*64</f>
        <v>13888</v>
      </c>
    </row>
    <row r="7" spans="1:8" x14ac:dyDescent="0.25">
      <c r="A7" t="s">
        <v>205</v>
      </c>
      <c r="B7" t="s">
        <v>206</v>
      </c>
      <c r="C7" s="7" t="s">
        <v>7</v>
      </c>
      <c r="D7" t="s">
        <v>223</v>
      </c>
      <c r="E7" s="54">
        <v>196</v>
      </c>
      <c r="F7" s="54">
        <v>98</v>
      </c>
      <c r="G7">
        <f t="shared" si="0"/>
        <v>147</v>
      </c>
      <c r="H7" s="4">
        <f t="shared" si="1"/>
        <v>9408</v>
      </c>
    </row>
    <row r="8" spans="1:8" x14ac:dyDescent="0.25">
      <c r="A8" t="s">
        <v>205</v>
      </c>
      <c r="B8" t="s">
        <v>206</v>
      </c>
      <c r="C8" s="7" t="s">
        <v>41</v>
      </c>
      <c r="D8" t="s">
        <v>42</v>
      </c>
      <c r="E8" s="54">
        <v>132</v>
      </c>
      <c r="F8" s="54">
        <v>75</v>
      </c>
      <c r="G8">
        <f t="shared" si="0"/>
        <v>103.5</v>
      </c>
      <c r="H8" s="4">
        <f t="shared" si="1"/>
        <v>6624</v>
      </c>
    </row>
    <row r="9" spans="1:8" x14ac:dyDescent="0.25">
      <c r="A9" t="s">
        <v>205</v>
      </c>
      <c r="B9" t="s">
        <v>206</v>
      </c>
      <c r="C9" s="7" t="s">
        <v>74</v>
      </c>
      <c r="D9" t="s">
        <v>237</v>
      </c>
      <c r="E9" s="54">
        <v>246</v>
      </c>
      <c r="F9" s="54">
        <v>263</v>
      </c>
      <c r="G9">
        <f t="shared" si="0"/>
        <v>254.5</v>
      </c>
      <c r="H9" s="4">
        <f t="shared" si="1"/>
        <v>16288</v>
      </c>
    </row>
    <row r="10" spans="1:8" x14ac:dyDescent="0.25">
      <c r="A10" t="s">
        <v>205</v>
      </c>
      <c r="B10" t="s">
        <v>206</v>
      </c>
      <c r="C10" s="7" t="s">
        <v>60</v>
      </c>
      <c r="D10" t="s">
        <v>152</v>
      </c>
      <c r="E10" s="54">
        <v>4128</v>
      </c>
      <c r="F10" s="54">
        <v>1854</v>
      </c>
      <c r="G10">
        <f t="shared" si="0"/>
        <v>2991</v>
      </c>
      <c r="H10" s="4">
        <f t="shared" si="1"/>
        <v>191424</v>
      </c>
    </row>
    <row r="11" spans="1:8" x14ac:dyDescent="0.25">
      <c r="A11" t="s">
        <v>205</v>
      </c>
      <c r="B11" t="s">
        <v>206</v>
      </c>
      <c r="C11" s="7" t="s">
        <v>63</v>
      </c>
      <c r="D11" t="s">
        <v>153</v>
      </c>
      <c r="E11" s="54">
        <v>720</v>
      </c>
      <c r="F11" s="54">
        <v>598</v>
      </c>
      <c r="G11">
        <f t="shared" si="0"/>
        <v>659</v>
      </c>
      <c r="H11" s="4">
        <f t="shared" si="1"/>
        <v>42176</v>
      </c>
    </row>
    <row r="12" spans="1:8" x14ac:dyDescent="0.25">
      <c r="A12" t="s">
        <v>205</v>
      </c>
      <c r="B12" t="s">
        <v>206</v>
      </c>
      <c r="C12" s="7" t="s">
        <v>64</v>
      </c>
      <c r="D12" t="s">
        <v>231</v>
      </c>
      <c r="E12" s="54">
        <v>239</v>
      </c>
      <c r="F12" s="54">
        <v>248</v>
      </c>
      <c r="G12">
        <f t="shared" si="0"/>
        <v>243.5</v>
      </c>
      <c r="H12" s="4">
        <f t="shared" si="1"/>
        <v>15584</v>
      </c>
    </row>
    <row r="13" spans="1:8" x14ac:dyDescent="0.25">
      <c r="A13" t="s">
        <v>205</v>
      </c>
      <c r="B13" t="s">
        <v>206</v>
      </c>
      <c r="C13" s="7" t="s">
        <v>73</v>
      </c>
      <c r="D13" t="s">
        <v>156</v>
      </c>
      <c r="E13" s="54">
        <v>1493</v>
      </c>
      <c r="F13" s="54">
        <v>1469</v>
      </c>
      <c r="G13">
        <f t="shared" si="0"/>
        <v>1481</v>
      </c>
      <c r="H13" s="4">
        <f t="shared" si="1"/>
        <v>94784</v>
      </c>
    </row>
    <row r="14" spans="1:8" x14ac:dyDescent="0.25">
      <c r="A14" t="s">
        <v>238</v>
      </c>
      <c r="B14" t="s">
        <v>239</v>
      </c>
      <c r="C14" s="7" t="s">
        <v>29</v>
      </c>
      <c r="D14" t="s">
        <v>30</v>
      </c>
      <c r="E14" s="54">
        <v>201</v>
      </c>
      <c r="F14" s="54">
        <v>224</v>
      </c>
      <c r="G14">
        <f t="shared" si="0"/>
        <v>212.5</v>
      </c>
      <c r="H14" s="4">
        <f t="shared" si="1"/>
        <v>13600</v>
      </c>
    </row>
    <row r="15" spans="1:8" x14ac:dyDescent="0.25">
      <c r="A15" t="s">
        <v>238</v>
      </c>
      <c r="B15" t="s">
        <v>239</v>
      </c>
      <c r="C15" s="7" t="s">
        <v>31</v>
      </c>
      <c r="D15" t="s">
        <v>32</v>
      </c>
      <c r="E15" s="54">
        <v>516</v>
      </c>
      <c r="F15" s="54">
        <v>542</v>
      </c>
      <c r="G15">
        <f t="shared" si="0"/>
        <v>529</v>
      </c>
      <c r="H15" s="4">
        <f t="shared" si="1"/>
        <v>33856</v>
      </c>
    </row>
    <row r="16" spans="1:8" x14ac:dyDescent="0.25">
      <c r="A16" t="s">
        <v>238</v>
      </c>
      <c r="B16" t="s">
        <v>239</v>
      </c>
      <c r="C16" s="7" t="s">
        <v>33</v>
      </c>
      <c r="D16" t="s">
        <v>75</v>
      </c>
      <c r="E16" s="54">
        <v>383</v>
      </c>
      <c r="F16" s="54">
        <v>364</v>
      </c>
      <c r="G16">
        <f t="shared" si="0"/>
        <v>373.5</v>
      </c>
      <c r="H16" s="4">
        <f t="shared" si="1"/>
        <v>23904</v>
      </c>
    </row>
    <row r="17" spans="1:8" x14ac:dyDescent="0.25">
      <c r="A17" t="s">
        <v>238</v>
      </c>
      <c r="B17" t="s">
        <v>239</v>
      </c>
      <c r="C17" s="7" t="s">
        <v>34</v>
      </c>
      <c r="D17" t="s">
        <v>35</v>
      </c>
      <c r="E17" s="54">
        <v>1179</v>
      </c>
      <c r="F17" s="54">
        <v>1143</v>
      </c>
      <c r="G17">
        <f t="shared" si="0"/>
        <v>1161</v>
      </c>
      <c r="H17" s="4">
        <f t="shared" si="1"/>
        <v>74304</v>
      </c>
    </row>
    <row r="18" spans="1:8" x14ac:dyDescent="0.25">
      <c r="A18" t="s">
        <v>8</v>
      </c>
      <c r="B18" t="s">
        <v>240</v>
      </c>
      <c r="C18" s="7" t="s">
        <v>10</v>
      </c>
      <c r="D18" t="s">
        <v>157</v>
      </c>
      <c r="E18" s="54">
        <v>56</v>
      </c>
      <c r="F18" s="54">
        <v>58</v>
      </c>
      <c r="G18">
        <f t="shared" si="0"/>
        <v>57</v>
      </c>
      <c r="H18" s="4">
        <f t="shared" si="1"/>
        <v>3648</v>
      </c>
    </row>
    <row r="19" spans="1:8" x14ac:dyDescent="0.25">
      <c r="A19" t="s">
        <v>8</v>
      </c>
      <c r="B19" t="s">
        <v>240</v>
      </c>
      <c r="C19" s="7" t="s">
        <v>11</v>
      </c>
      <c r="D19" t="s">
        <v>12</v>
      </c>
      <c r="E19" s="54">
        <v>643</v>
      </c>
      <c r="F19" s="54">
        <v>647</v>
      </c>
      <c r="G19">
        <f t="shared" si="0"/>
        <v>645</v>
      </c>
      <c r="H19" s="4">
        <f t="shared" si="1"/>
        <v>41280</v>
      </c>
    </row>
    <row r="20" spans="1:8" x14ac:dyDescent="0.25">
      <c r="A20" t="s">
        <v>8</v>
      </c>
      <c r="B20" t="s">
        <v>240</v>
      </c>
      <c r="C20" s="7" t="s">
        <v>13</v>
      </c>
      <c r="D20" t="s">
        <v>14</v>
      </c>
      <c r="E20" s="54">
        <v>886</v>
      </c>
      <c r="F20" s="54">
        <v>859</v>
      </c>
      <c r="G20">
        <f t="shared" si="0"/>
        <v>872.5</v>
      </c>
      <c r="H20" s="4">
        <f t="shared" si="1"/>
        <v>55840</v>
      </c>
    </row>
    <row r="21" spans="1:8" x14ac:dyDescent="0.25">
      <c r="A21" t="s">
        <v>8</v>
      </c>
      <c r="B21" t="s">
        <v>240</v>
      </c>
      <c r="C21" s="7" t="s">
        <v>15</v>
      </c>
      <c r="D21" t="s">
        <v>227</v>
      </c>
      <c r="E21" s="54">
        <v>614</v>
      </c>
      <c r="F21" s="54">
        <v>622</v>
      </c>
      <c r="G21">
        <f t="shared" si="0"/>
        <v>618</v>
      </c>
      <c r="H21" s="4">
        <f t="shared" si="1"/>
        <v>39552</v>
      </c>
    </row>
    <row r="22" spans="1:8" x14ac:dyDescent="0.25">
      <c r="A22" t="s">
        <v>8</v>
      </c>
      <c r="B22" t="s">
        <v>240</v>
      </c>
      <c r="C22" s="7" t="s">
        <v>17</v>
      </c>
      <c r="D22" t="s">
        <v>18</v>
      </c>
      <c r="E22" s="54">
        <v>815</v>
      </c>
      <c r="F22" s="54">
        <v>823</v>
      </c>
      <c r="G22">
        <f t="shared" si="0"/>
        <v>819</v>
      </c>
      <c r="H22" s="4">
        <f t="shared" si="1"/>
        <v>52416</v>
      </c>
    </row>
    <row r="23" spans="1:8" x14ac:dyDescent="0.25">
      <c r="A23" t="s">
        <v>8</v>
      </c>
      <c r="B23" t="s">
        <v>240</v>
      </c>
      <c r="C23" s="7" t="s">
        <v>19</v>
      </c>
      <c r="D23" t="s">
        <v>20</v>
      </c>
      <c r="E23" s="54">
        <v>142</v>
      </c>
      <c r="F23" s="54">
        <v>137</v>
      </c>
      <c r="G23">
        <f t="shared" si="0"/>
        <v>139.5</v>
      </c>
      <c r="H23" s="4">
        <f t="shared" si="1"/>
        <v>8928</v>
      </c>
    </row>
    <row r="24" spans="1:8" x14ac:dyDescent="0.25">
      <c r="A24" t="s">
        <v>241</v>
      </c>
      <c r="B24" t="s">
        <v>221</v>
      </c>
      <c r="C24" s="7" t="s">
        <v>23</v>
      </c>
      <c r="D24" t="s">
        <v>24</v>
      </c>
      <c r="E24" s="54">
        <v>12</v>
      </c>
      <c r="F24" s="54">
        <v>11</v>
      </c>
      <c r="G24">
        <f t="shared" si="0"/>
        <v>11.5</v>
      </c>
      <c r="H24" s="4">
        <f t="shared" si="1"/>
        <v>736</v>
      </c>
    </row>
    <row r="25" spans="1:8" x14ac:dyDescent="0.25">
      <c r="A25" t="s">
        <v>241</v>
      </c>
      <c r="B25" t="s">
        <v>221</v>
      </c>
      <c r="C25" s="7" t="s">
        <v>36</v>
      </c>
      <c r="D25" t="s">
        <v>144</v>
      </c>
      <c r="E25" s="54">
        <v>20</v>
      </c>
      <c r="F25" s="54">
        <v>20</v>
      </c>
      <c r="G25">
        <f t="shared" si="0"/>
        <v>20</v>
      </c>
      <c r="H25" s="4">
        <f t="shared" si="1"/>
        <v>1280</v>
      </c>
    </row>
    <row r="26" spans="1:8" x14ac:dyDescent="0.25">
      <c r="A26" t="s">
        <v>241</v>
      </c>
      <c r="B26" t="s">
        <v>221</v>
      </c>
      <c r="C26" s="7" t="s">
        <v>43</v>
      </c>
      <c r="D26" t="s">
        <v>242</v>
      </c>
      <c r="E26" s="54">
        <v>18</v>
      </c>
      <c r="F26" s="54">
        <v>19</v>
      </c>
      <c r="G26">
        <f t="shared" si="0"/>
        <v>18.5</v>
      </c>
      <c r="H26" s="4">
        <f t="shared" si="1"/>
        <v>1184</v>
      </c>
    </row>
    <row r="27" spans="1:8" x14ac:dyDescent="0.25">
      <c r="A27" t="s">
        <v>241</v>
      </c>
      <c r="B27" t="s">
        <v>221</v>
      </c>
      <c r="C27" s="7" t="s">
        <v>159</v>
      </c>
      <c r="D27" t="s">
        <v>160</v>
      </c>
      <c r="E27" s="54">
        <v>11</v>
      </c>
      <c r="F27" s="54">
        <v>11</v>
      </c>
      <c r="G27">
        <f t="shared" si="0"/>
        <v>11</v>
      </c>
      <c r="H27" s="4">
        <f t="shared" si="1"/>
        <v>704</v>
      </c>
    </row>
    <row r="28" spans="1:8" x14ac:dyDescent="0.25">
      <c r="A28" t="s">
        <v>241</v>
      </c>
      <c r="B28" t="s">
        <v>221</v>
      </c>
      <c r="C28" s="7" t="s">
        <v>146</v>
      </c>
      <c r="D28" t="s">
        <v>228</v>
      </c>
      <c r="E28" s="54">
        <v>63</v>
      </c>
      <c r="F28" s="54">
        <v>63</v>
      </c>
      <c r="G28">
        <f t="shared" si="0"/>
        <v>63</v>
      </c>
      <c r="H28" s="4">
        <f t="shared" si="1"/>
        <v>4032</v>
      </c>
    </row>
    <row r="29" spans="1:8" x14ac:dyDescent="0.25">
      <c r="A29" t="s">
        <v>241</v>
      </c>
      <c r="B29" t="s">
        <v>221</v>
      </c>
      <c r="C29" s="7" t="s">
        <v>56</v>
      </c>
      <c r="D29" t="s">
        <v>158</v>
      </c>
      <c r="E29" s="54">
        <v>354</v>
      </c>
      <c r="F29" s="54">
        <v>366</v>
      </c>
      <c r="G29">
        <f t="shared" si="0"/>
        <v>360</v>
      </c>
      <c r="H29" s="4">
        <f t="shared" si="1"/>
        <v>23040</v>
      </c>
    </row>
    <row r="30" spans="1:8" x14ac:dyDescent="0.25">
      <c r="A30" t="s">
        <v>241</v>
      </c>
      <c r="B30" t="s">
        <v>221</v>
      </c>
      <c r="C30" s="7" t="s">
        <v>148</v>
      </c>
      <c r="D30" t="s">
        <v>149</v>
      </c>
      <c r="E30" s="54">
        <f>1025</f>
        <v>1025</v>
      </c>
      <c r="F30" s="54">
        <v>1010</v>
      </c>
      <c r="G30">
        <f t="shared" si="0"/>
        <v>1017.5</v>
      </c>
      <c r="H30" s="4">
        <f t="shared" si="1"/>
        <v>65120</v>
      </c>
    </row>
    <row r="31" spans="1:8" x14ac:dyDescent="0.25">
      <c r="A31" t="s">
        <v>241</v>
      </c>
      <c r="B31" t="s">
        <v>221</v>
      </c>
      <c r="C31" s="7" t="s">
        <v>57</v>
      </c>
      <c r="D31" t="s">
        <v>236</v>
      </c>
      <c r="E31" s="54">
        <v>171</v>
      </c>
      <c r="F31" s="54">
        <v>161</v>
      </c>
      <c r="G31">
        <f t="shared" si="0"/>
        <v>166</v>
      </c>
      <c r="H31" s="4">
        <f t="shared" si="1"/>
        <v>10624</v>
      </c>
    </row>
    <row r="32" spans="1:8" x14ac:dyDescent="0.25">
      <c r="A32" t="s">
        <v>241</v>
      </c>
      <c r="B32" t="s">
        <v>221</v>
      </c>
      <c r="C32" s="7" t="s">
        <v>58</v>
      </c>
      <c r="D32" t="s">
        <v>59</v>
      </c>
      <c r="E32" s="54">
        <v>56</v>
      </c>
      <c r="F32" s="54">
        <v>46</v>
      </c>
      <c r="G32">
        <f t="shared" si="0"/>
        <v>51</v>
      </c>
      <c r="H32" s="4">
        <f t="shared" si="1"/>
        <v>3264</v>
      </c>
    </row>
    <row r="33" spans="1:8" x14ac:dyDescent="0.25">
      <c r="A33" t="s">
        <v>243</v>
      </c>
      <c r="B33" t="s">
        <v>244</v>
      </c>
      <c r="C33" s="7" t="s">
        <v>25</v>
      </c>
      <c r="D33" t="s">
        <v>26</v>
      </c>
      <c r="E33" s="54">
        <v>449</v>
      </c>
      <c r="F33" s="54">
        <v>440</v>
      </c>
      <c r="G33">
        <f t="shared" si="0"/>
        <v>444.5</v>
      </c>
      <c r="H33" s="4">
        <f t="shared" si="1"/>
        <v>28448</v>
      </c>
    </row>
    <row r="34" spans="1:8" x14ac:dyDescent="0.25">
      <c r="A34" t="s">
        <v>243</v>
      </c>
      <c r="B34" t="s">
        <v>244</v>
      </c>
      <c r="C34" s="7" t="s">
        <v>37</v>
      </c>
      <c r="D34" t="s">
        <v>226</v>
      </c>
      <c r="E34" s="54">
        <v>70</v>
      </c>
      <c r="F34" s="54">
        <v>70</v>
      </c>
      <c r="G34">
        <f t="shared" si="0"/>
        <v>70</v>
      </c>
      <c r="H34" s="4">
        <f t="shared" si="1"/>
        <v>4480</v>
      </c>
    </row>
    <row r="35" spans="1:8" x14ac:dyDescent="0.25">
      <c r="A35" t="s">
        <v>243</v>
      </c>
      <c r="B35" t="s">
        <v>244</v>
      </c>
      <c r="C35" s="7" t="s">
        <v>39</v>
      </c>
      <c r="D35" t="s">
        <v>40</v>
      </c>
      <c r="E35" s="54">
        <v>568</v>
      </c>
      <c r="F35" s="54">
        <v>549</v>
      </c>
      <c r="G35">
        <f t="shared" si="0"/>
        <v>558.5</v>
      </c>
      <c r="H35" s="4">
        <f t="shared" si="1"/>
        <v>35744</v>
      </c>
    </row>
    <row r="36" spans="1:8" x14ac:dyDescent="0.25">
      <c r="A36" t="s">
        <v>243</v>
      </c>
      <c r="B36" t="s">
        <v>244</v>
      </c>
      <c r="C36" s="7" t="s">
        <v>44</v>
      </c>
      <c r="D36" t="s">
        <v>45</v>
      </c>
      <c r="E36" s="54">
        <v>270</v>
      </c>
      <c r="F36" s="54">
        <v>272</v>
      </c>
      <c r="G36">
        <f t="shared" si="0"/>
        <v>271</v>
      </c>
      <c r="H36" s="4">
        <f t="shared" si="1"/>
        <v>17344</v>
      </c>
    </row>
    <row r="37" spans="1:8" x14ac:dyDescent="0.25">
      <c r="A37" t="s">
        <v>243</v>
      </c>
      <c r="B37" t="s">
        <v>244</v>
      </c>
      <c r="C37" s="7" t="s">
        <v>46</v>
      </c>
      <c r="D37" t="s">
        <v>47</v>
      </c>
      <c r="E37" s="54">
        <v>464</v>
      </c>
      <c r="F37" s="54">
        <v>478</v>
      </c>
      <c r="G37">
        <f t="shared" si="0"/>
        <v>471</v>
      </c>
      <c r="H37" s="4">
        <f t="shared" si="1"/>
        <v>30144</v>
      </c>
    </row>
    <row r="38" spans="1:8" x14ac:dyDescent="0.25">
      <c r="A38" t="s">
        <v>243</v>
      </c>
      <c r="B38" t="s">
        <v>244</v>
      </c>
      <c r="C38" s="7" t="s">
        <v>48</v>
      </c>
      <c r="D38" t="s">
        <v>49</v>
      </c>
      <c r="E38" s="54">
        <v>222</v>
      </c>
      <c r="F38" s="54">
        <v>216</v>
      </c>
      <c r="G38">
        <f t="shared" si="0"/>
        <v>219</v>
      </c>
      <c r="H38" s="4">
        <f t="shared" si="1"/>
        <v>14016</v>
      </c>
    </row>
    <row r="39" spans="1:8" x14ac:dyDescent="0.25">
      <c r="A39" t="s">
        <v>243</v>
      </c>
      <c r="B39" t="s">
        <v>244</v>
      </c>
      <c r="C39" s="7" t="s">
        <v>50</v>
      </c>
      <c r="D39" t="s">
        <v>51</v>
      </c>
      <c r="E39" s="54">
        <v>133</v>
      </c>
      <c r="F39" s="54">
        <v>129</v>
      </c>
      <c r="G39">
        <f t="shared" si="0"/>
        <v>131</v>
      </c>
      <c r="H39" s="4">
        <f t="shared" si="1"/>
        <v>8384</v>
      </c>
    </row>
    <row r="40" spans="1:8" x14ac:dyDescent="0.25">
      <c r="A40" t="s">
        <v>243</v>
      </c>
      <c r="B40" t="s">
        <v>244</v>
      </c>
      <c r="C40" s="7" t="s">
        <v>52</v>
      </c>
      <c r="D40" t="s">
        <v>53</v>
      </c>
      <c r="E40" s="54">
        <v>86</v>
      </c>
      <c r="F40" s="54">
        <v>77</v>
      </c>
      <c r="G40">
        <f t="shared" si="0"/>
        <v>81.5</v>
      </c>
      <c r="H40" s="4">
        <f t="shared" si="1"/>
        <v>5216</v>
      </c>
    </row>
    <row r="41" spans="1:8" x14ac:dyDescent="0.25">
      <c r="A41" t="s">
        <v>243</v>
      </c>
      <c r="B41" t="s">
        <v>244</v>
      </c>
      <c r="C41" s="7" t="s">
        <v>54</v>
      </c>
      <c r="D41" t="s">
        <v>55</v>
      </c>
      <c r="E41" s="54">
        <v>89</v>
      </c>
      <c r="F41" s="54">
        <v>96</v>
      </c>
      <c r="G41">
        <f t="shared" si="0"/>
        <v>92.5</v>
      </c>
      <c r="H41" s="4">
        <f t="shared" si="1"/>
        <v>5920</v>
      </c>
    </row>
    <row r="42" spans="1:8" x14ac:dyDescent="0.25">
      <c r="A42" t="s">
        <v>66</v>
      </c>
      <c r="B42" t="s">
        <v>245</v>
      </c>
      <c r="C42" s="7" t="s">
        <v>232</v>
      </c>
      <c r="D42" t="s">
        <v>155</v>
      </c>
      <c r="E42" s="54">
        <v>1010</v>
      </c>
      <c r="F42" s="54">
        <v>993</v>
      </c>
      <c r="G42">
        <f t="shared" si="0"/>
        <v>1001.5</v>
      </c>
      <c r="H42" s="4">
        <f t="shared" si="1"/>
        <v>64096</v>
      </c>
    </row>
    <row r="43" spans="1:8" x14ac:dyDescent="0.25">
      <c r="A43" t="s">
        <v>66</v>
      </c>
      <c r="B43" t="s">
        <v>245</v>
      </c>
      <c r="C43" s="7" t="s">
        <v>233</v>
      </c>
      <c r="D43" t="s">
        <v>234</v>
      </c>
      <c r="E43" s="54">
        <v>244</v>
      </c>
      <c r="F43" s="54">
        <v>233</v>
      </c>
      <c r="G43">
        <f t="shared" si="0"/>
        <v>238.5</v>
      </c>
      <c r="H43" s="4">
        <f t="shared" si="1"/>
        <v>15264</v>
      </c>
    </row>
    <row r="44" spans="1:8" x14ac:dyDescent="0.25">
      <c r="A44" t="s">
        <v>66</v>
      </c>
      <c r="B44" t="s">
        <v>245</v>
      </c>
      <c r="C44" s="7" t="s">
        <v>70</v>
      </c>
      <c r="D44" t="s">
        <v>235</v>
      </c>
      <c r="E44" s="54">
        <v>186</v>
      </c>
      <c r="F44" s="54">
        <v>210</v>
      </c>
      <c r="G44">
        <f t="shared" si="0"/>
        <v>198</v>
      </c>
      <c r="H44" s="4">
        <f t="shared" si="1"/>
        <v>12672</v>
      </c>
    </row>
    <row r="45" spans="1:8" x14ac:dyDescent="0.25">
      <c r="E45" s="93">
        <f>SUM(E5:E44)</f>
        <v>18959</v>
      </c>
      <c r="F45" s="93">
        <f t="shared" ref="F45:H45" si="2">SUM(F5:F44)</f>
        <v>15926</v>
      </c>
      <c r="G45" s="93">
        <f t="shared" si="2"/>
        <v>17442.5</v>
      </c>
      <c r="H45" s="6">
        <f t="shared" si="2"/>
        <v>1116320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36" sqref="H36"/>
    </sheetView>
  </sheetViews>
  <sheetFormatPr defaultRowHeight="15" x14ac:dyDescent="0.25"/>
  <cols>
    <col min="1" max="1" width="11.85546875" customWidth="1"/>
    <col min="2" max="2" width="35.28515625" customWidth="1"/>
    <col min="3" max="3" width="10.140625" style="7" customWidth="1"/>
    <col min="4" max="4" width="30.5703125" customWidth="1"/>
    <col min="5" max="5" width="13.7109375" style="54" customWidth="1"/>
    <col min="6" max="6" width="13.42578125" style="54" customWidth="1"/>
    <col min="7" max="7" width="14.42578125" style="54" customWidth="1"/>
    <col min="8" max="8" width="15.7109375" style="4" customWidth="1"/>
  </cols>
  <sheetData>
    <row r="1" spans="1:8" ht="21" x14ac:dyDescent="0.35">
      <c r="A1" s="3" t="s">
        <v>0</v>
      </c>
    </row>
    <row r="3" spans="1:8" ht="30" x14ac:dyDescent="0.25">
      <c r="E3" s="55" t="s">
        <v>76</v>
      </c>
      <c r="F3" s="55"/>
    </row>
    <row r="4" spans="1:8" s="1" customFormat="1" ht="30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57">
        <v>42095</v>
      </c>
      <c r="F4" s="57">
        <v>42278</v>
      </c>
      <c r="G4" s="56" t="s">
        <v>5</v>
      </c>
      <c r="H4" s="5" t="s">
        <v>180</v>
      </c>
    </row>
    <row r="5" spans="1:8" x14ac:dyDescent="0.25">
      <c r="A5" t="s">
        <v>205</v>
      </c>
      <c r="B5" t="s">
        <v>206</v>
      </c>
      <c r="C5" s="7" t="s">
        <v>7</v>
      </c>
      <c r="D5" t="s">
        <v>6</v>
      </c>
      <c r="E5" s="58">
        <v>96</v>
      </c>
      <c r="F5" s="58">
        <v>96</v>
      </c>
      <c r="G5" s="58">
        <f t="shared" ref="G5:G44" si="0">AVERAGE(E5:F5)</f>
        <v>96</v>
      </c>
      <c r="H5" s="4">
        <f>G5*64</f>
        <v>6144</v>
      </c>
    </row>
    <row r="6" spans="1:8" x14ac:dyDescent="0.25">
      <c r="A6" t="s">
        <v>8</v>
      </c>
      <c r="B6" t="s">
        <v>9</v>
      </c>
      <c r="C6" s="7" t="s">
        <v>10</v>
      </c>
      <c r="D6" t="s">
        <v>157</v>
      </c>
      <c r="E6" s="58">
        <v>53</v>
      </c>
      <c r="F6" s="58">
        <v>56</v>
      </c>
      <c r="G6" s="58">
        <f t="shared" si="0"/>
        <v>54.5</v>
      </c>
      <c r="H6" s="4">
        <f t="shared" ref="H6:H44" si="1">G6*64</f>
        <v>3488</v>
      </c>
    </row>
    <row r="7" spans="1:8" x14ac:dyDescent="0.25">
      <c r="A7" t="s">
        <v>8</v>
      </c>
      <c r="B7" t="s">
        <v>9</v>
      </c>
      <c r="C7" s="7" t="s">
        <v>11</v>
      </c>
      <c r="D7" t="s">
        <v>12</v>
      </c>
      <c r="E7" s="58">
        <v>628</v>
      </c>
      <c r="F7" s="58">
        <v>621</v>
      </c>
      <c r="G7" s="58">
        <f t="shared" si="0"/>
        <v>624.5</v>
      </c>
      <c r="H7" s="4">
        <f t="shared" si="1"/>
        <v>39968</v>
      </c>
    </row>
    <row r="8" spans="1:8" x14ac:dyDescent="0.25">
      <c r="A8" t="s">
        <v>8</v>
      </c>
      <c r="B8" t="s">
        <v>9</v>
      </c>
      <c r="C8" s="7" t="s">
        <v>13</v>
      </c>
      <c r="D8" t="s">
        <v>14</v>
      </c>
      <c r="E8" s="58">
        <v>866</v>
      </c>
      <c r="F8" s="58">
        <v>871</v>
      </c>
      <c r="G8" s="58">
        <f t="shared" si="0"/>
        <v>868.5</v>
      </c>
      <c r="H8" s="4">
        <f t="shared" si="1"/>
        <v>55584</v>
      </c>
    </row>
    <row r="9" spans="1:8" x14ac:dyDescent="0.25">
      <c r="A9" t="s">
        <v>8</v>
      </c>
      <c r="B9" t="s">
        <v>9</v>
      </c>
      <c r="C9" s="7" t="s">
        <v>15</v>
      </c>
      <c r="D9" t="s">
        <v>16</v>
      </c>
      <c r="E9" s="58">
        <v>591</v>
      </c>
      <c r="F9" s="58">
        <v>601</v>
      </c>
      <c r="G9" s="58">
        <f t="shared" si="0"/>
        <v>596</v>
      </c>
      <c r="H9" s="4">
        <f t="shared" si="1"/>
        <v>38144</v>
      </c>
    </row>
    <row r="10" spans="1:8" x14ac:dyDescent="0.25">
      <c r="A10" t="s">
        <v>8</v>
      </c>
      <c r="B10" t="s">
        <v>9</v>
      </c>
      <c r="C10" s="7" t="s">
        <v>17</v>
      </c>
      <c r="D10" t="s">
        <v>18</v>
      </c>
      <c r="E10" s="58">
        <v>764</v>
      </c>
      <c r="F10" s="58">
        <v>760</v>
      </c>
      <c r="G10" s="58">
        <f t="shared" si="0"/>
        <v>762</v>
      </c>
      <c r="H10" s="4">
        <f t="shared" si="1"/>
        <v>48768</v>
      </c>
    </row>
    <row r="11" spans="1:8" x14ac:dyDescent="0.25">
      <c r="A11" t="s">
        <v>8</v>
      </c>
      <c r="B11" t="s">
        <v>9</v>
      </c>
      <c r="C11" s="7" t="s">
        <v>19</v>
      </c>
      <c r="D11" t="s">
        <v>20</v>
      </c>
      <c r="E11" s="58">
        <v>179</v>
      </c>
      <c r="F11" s="58">
        <v>177</v>
      </c>
      <c r="G11" s="58">
        <f t="shared" si="0"/>
        <v>178</v>
      </c>
      <c r="H11" s="4">
        <f t="shared" si="1"/>
        <v>11392</v>
      </c>
    </row>
    <row r="12" spans="1:8" x14ac:dyDescent="0.25">
      <c r="A12" t="s">
        <v>21</v>
      </c>
      <c r="B12" t="s">
        <v>22</v>
      </c>
      <c r="C12" s="7" t="s">
        <v>23</v>
      </c>
      <c r="D12" t="s">
        <v>24</v>
      </c>
      <c r="E12" s="58">
        <v>12</v>
      </c>
      <c r="F12" s="58">
        <v>12</v>
      </c>
      <c r="G12" s="58">
        <f t="shared" si="0"/>
        <v>12</v>
      </c>
      <c r="H12" s="4">
        <f t="shared" si="1"/>
        <v>768</v>
      </c>
    </row>
    <row r="13" spans="1:8" x14ac:dyDescent="0.25">
      <c r="A13" t="s">
        <v>21</v>
      </c>
      <c r="B13" t="s">
        <v>22</v>
      </c>
      <c r="C13" s="7" t="s">
        <v>25</v>
      </c>
      <c r="D13" t="s">
        <v>26</v>
      </c>
      <c r="E13" s="58">
        <v>448</v>
      </c>
      <c r="F13" s="58">
        <v>445</v>
      </c>
      <c r="G13" s="58">
        <f t="shared" si="0"/>
        <v>446.5</v>
      </c>
      <c r="H13" s="4">
        <f t="shared" si="1"/>
        <v>28576</v>
      </c>
    </row>
    <row r="14" spans="1:8" x14ac:dyDescent="0.25">
      <c r="A14" t="s">
        <v>205</v>
      </c>
      <c r="B14" t="s">
        <v>206</v>
      </c>
      <c r="C14" s="7" t="s">
        <v>27</v>
      </c>
      <c r="D14" t="s">
        <v>28</v>
      </c>
      <c r="E14" s="58">
        <v>172</v>
      </c>
      <c r="F14" s="58">
        <v>132</v>
      </c>
      <c r="G14" s="58">
        <f t="shared" si="0"/>
        <v>152</v>
      </c>
      <c r="H14" s="4">
        <f t="shared" si="1"/>
        <v>9728</v>
      </c>
    </row>
    <row r="15" spans="1:8" x14ac:dyDescent="0.25">
      <c r="A15" t="s">
        <v>21</v>
      </c>
      <c r="B15" t="s">
        <v>22</v>
      </c>
      <c r="C15" s="7" t="s">
        <v>29</v>
      </c>
      <c r="D15" t="s">
        <v>30</v>
      </c>
      <c r="E15" s="58">
        <v>208</v>
      </c>
      <c r="F15" s="58">
        <v>214</v>
      </c>
      <c r="G15" s="58">
        <f t="shared" si="0"/>
        <v>211</v>
      </c>
      <c r="H15" s="4">
        <f t="shared" si="1"/>
        <v>13504</v>
      </c>
    </row>
    <row r="16" spans="1:8" x14ac:dyDescent="0.25">
      <c r="A16" t="s">
        <v>21</v>
      </c>
      <c r="B16" t="s">
        <v>22</v>
      </c>
      <c r="C16" s="7" t="s">
        <v>31</v>
      </c>
      <c r="D16" t="s">
        <v>32</v>
      </c>
      <c r="E16" s="58">
        <v>577</v>
      </c>
      <c r="F16" s="58">
        <v>518</v>
      </c>
      <c r="G16" s="58">
        <f t="shared" si="0"/>
        <v>547.5</v>
      </c>
      <c r="H16" s="4">
        <f t="shared" si="1"/>
        <v>35040</v>
      </c>
    </row>
    <row r="17" spans="1:8" x14ac:dyDescent="0.25">
      <c r="A17" t="s">
        <v>21</v>
      </c>
      <c r="B17" t="s">
        <v>22</v>
      </c>
      <c r="C17" s="7" t="s">
        <v>33</v>
      </c>
      <c r="D17" t="s">
        <v>75</v>
      </c>
      <c r="E17" s="58">
        <v>382</v>
      </c>
      <c r="F17" s="58">
        <v>387</v>
      </c>
      <c r="G17" s="58">
        <f t="shared" si="0"/>
        <v>384.5</v>
      </c>
      <c r="H17" s="4">
        <f t="shared" si="1"/>
        <v>24608</v>
      </c>
    </row>
    <row r="18" spans="1:8" x14ac:dyDescent="0.25">
      <c r="A18" t="s">
        <v>21</v>
      </c>
      <c r="B18" t="s">
        <v>22</v>
      </c>
      <c r="C18" s="7" t="s">
        <v>34</v>
      </c>
      <c r="D18" t="s">
        <v>35</v>
      </c>
      <c r="E18" s="58">
        <v>1110</v>
      </c>
      <c r="F18" s="58">
        <v>1143</v>
      </c>
      <c r="G18" s="58">
        <f t="shared" si="0"/>
        <v>1126.5</v>
      </c>
      <c r="H18" s="4">
        <f t="shared" si="1"/>
        <v>72096</v>
      </c>
    </row>
    <row r="19" spans="1:8" x14ac:dyDescent="0.25">
      <c r="A19" t="s">
        <v>21</v>
      </c>
      <c r="B19" t="s">
        <v>22</v>
      </c>
      <c r="C19" s="7" t="s">
        <v>36</v>
      </c>
      <c r="D19" t="s">
        <v>144</v>
      </c>
      <c r="E19" s="58">
        <v>17</v>
      </c>
      <c r="F19" s="58">
        <v>20</v>
      </c>
      <c r="G19" s="58">
        <f t="shared" si="0"/>
        <v>18.5</v>
      </c>
      <c r="H19" s="4">
        <f t="shared" si="1"/>
        <v>1184</v>
      </c>
    </row>
    <row r="20" spans="1:8" x14ac:dyDescent="0.25">
      <c r="A20" t="s">
        <v>21</v>
      </c>
      <c r="B20" t="s">
        <v>22</v>
      </c>
      <c r="C20" s="7" t="s">
        <v>37</v>
      </c>
      <c r="D20" t="s">
        <v>38</v>
      </c>
      <c r="E20" s="58">
        <v>75</v>
      </c>
      <c r="F20" s="58">
        <v>65</v>
      </c>
      <c r="G20" s="58">
        <f t="shared" si="0"/>
        <v>70</v>
      </c>
      <c r="H20" s="4">
        <f t="shared" si="1"/>
        <v>4480</v>
      </c>
    </row>
    <row r="21" spans="1:8" x14ac:dyDescent="0.25">
      <c r="A21" t="s">
        <v>21</v>
      </c>
      <c r="B21" t="s">
        <v>22</v>
      </c>
      <c r="C21" s="7" t="s">
        <v>39</v>
      </c>
      <c r="D21" t="s">
        <v>40</v>
      </c>
      <c r="E21" s="58">
        <v>541</v>
      </c>
      <c r="F21" s="58">
        <v>555</v>
      </c>
      <c r="G21" s="58">
        <f t="shared" si="0"/>
        <v>548</v>
      </c>
      <c r="H21" s="4">
        <f t="shared" si="1"/>
        <v>35072</v>
      </c>
    </row>
    <row r="22" spans="1:8" x14ac:dyDescent="0.25">
      <c r="A22" t="s">
        <v>205</v>
      </c>
      <c r="B22" t="s">
        <v>206</v>
      </c>
      <c r="C22" s="7" t="s">
        <v>41</v>
      </c>
      <c r="D22" t="s">
        <v>42</v>
      </c>
      <c r="E22" s="58">
        <v>64</v>
      </c>
      <c r="F22" s="58">
        <v>63</v>
      </c>
      <c r="G22" s="58">
        <f t="shared" si="0"/>
        <v>63.5</v>
      </c>
      <c r="H22" s="4">
        <f t="shared" si="1"/>
        <v>4064</v>
      </c>
    </row>
    <row r="23" spans="1:8" x14ac:dyDescent="0.25">
      <c r="A23" t="s">
        <v>21</v>
      </c>
      <c r="B23" t="s">
        <v>22</v>
      </c>
      <c r="C23" s="7" t="s">
        <v>43</v>
      </c>
      <c r="D23" t="s">
        <v>145</v>
      </c>
      <c r="E23" s="58">
        <v>19</v>
      </c>
      <c r="F23" s="58">
        <v>18</v>
      </c>
      <c r="G23" s="58">
        <f t="shared" si="0"/>
        <v>18.5</v>
      </c>
      <c r="H23" s="4">
        <f t="shared" si="1"/>
        <v>1184</v>
      </c>
    </row>
    <row r="24" spans="1:8" x14ac:dyDescent="0.25">
      <c r="A24" t="s">
        <v>21</v>
      </c>
      <c r="B24" t="s">
        <v>22</v>
      </c>
      <c r="C24" s="7" t="s">
        <v>159</v>
      </c>
      <c r="D24" t="s">
        <v>160</v>
      </c>
      <c r="E24" s="58">
        <v>10</v>
      </c>
      <c r="F24" s="58">
        <v>13</v>
      </c>
      <c r="G24" s="58">
        <f t="shared" ref="G24" si="2">AVERAGE(E24:F24)</f>
        <v>11.5</v>
      </c>
      <c r="H24" s="4">
        <f t="shared" si="1"/>
        <v>736</v>
      </c>
    </row>
    <row r="25" spans="1:8" x14ac:dyDescent="0.25">
      <c r="A25" t="s">
        <v>21</v>
      </c>
      <c r="B25" t="s">
        <v>22</v>
      </c>
      <c r="C25" s="7" t="s">
        <v>44</v>
      </c>
      <c r="D25" t="s">
        <v>45</v>
      </c>
      <c r="E25" s="58">
        <v>289</v>
      </c>
      <c r="F25" s="58">
        <v>270</v>
      </c>
      <c r="G25" s="58">
        <f t="shared" si="0"/>
        <v>279.5</v>
      </c>
      <c r="H25" s="4">
        <f t="shared" si="1"/>
        <v>17888</v>
      </c>
    </row>
    <row r="26" spans="1:8" x14ac:dyDescent="0.25">
      <c r="A26" t="s">
        <v>21</v>
      </c>
      <c r="B26" t="s">
        <v>22</v>
      </c>
      <c r="C26" s="7" t="s">
        <v>46</v>
      </c>
      <c r="D26" t="s">
        <v>47</v>
      </c>
      <c r="E26" s="58">
        <v>464</v>
      </c>
      <c r="F26" s="58">
        <v>470</v>
      </c>
      <c r="G26" s="58">
        <f t="shared" si="0"/>
        <v>467</v>
      </c>
      <c r="H26" s="4">
        <f t="shared" si="1"/>
        <v>29888</v>
      </c>
    </row>
    <row r="27" spans="1:8" x14ac:dyDescent="0.25">
      <c r="A27" t="s">
        <v>21</v>
      </c>
      <c r="B27" t="s">
        <v>22</v>
      </c>
      <c r="C27" s="7" t="s">
        <v>48</v>
      </c>
      <c r="D27" t="s">
        <v>49</v>
      </c>
      <c r="E27" s="58">
        <v>237</v>
      </c>
      <c r="F27" s="58">
        <v>219</v>
      </c>
      <c r="G27" s="58">
        <f t="shared" si="0"/>
        <v>228</v>
      </c>
      <c r="H27" s="4">
        <f t="shared" si="1"/>
        <v>14592</v>
      </c>
    </row>
    <row r="28" spans="1:8" x14ac:dyDescent="0.25">
      <c r="A28" t="s">
        <v>21</v>
      </c>
      <c r="B28" t="s">
        <v>22</v>
      </c>
      <c r="C28" s="7" t="s">
        <v>50</v>
      </c>
      <c r="D28" t="s">
        <v>51</v>
      </c>
      <c r="E28" s="58">
        <v>125</v>
      </c>
      <c r="F28" s="58">
        <v>119</v>
      </c>
      <c r="G28" s="58">
        <f t="shared" si="0"/>
        <v>122</v>
      </c>
      <c r="H28" s="4">
        <f t="shared" si="1"/>
        <v>7808</v>
      </c>
    </row>
    <row r="29" spans="1:8" x14ac:dyDescent="0.25">
      <c r="A29" t="s">
        <v>21</v>
      </c>
      <c r="B29" t="s">
        <v>22</v>
      </c>
      <c r="C29" s="7" t="s">
        <v>52</v>
      </c>
      <c r="D29" t="s">
        <v>53</v>
      </c>
      <c r="E29" s="58">
        <v>75</v>
      </c>
      <c r="F29" s="58">
        <v>78</v>
      </c>
      <c r="G29" s="58">
        <f t="shared" si="0"/>
        <v>76.5</v>
      </c>
      <c r="H29" s="4">
        <f t="shared" si="1"/>
        <v>4896</v>
      </c>
    </row>
    <row r="30" spans="1:8" x14ac:dyDescent="0.25">
      <c r="A30" t="s">
        <v>21</v>
      </c>
      <c r="B30" t="s">
        <v>22</v>
      </c>
      <c r="C30" s="7" t="s">
        <v>54</v>
      </c>
      <c r="D30" t="s">
        <v>55</v>
      </c>
      <c r="E30" s="58">
        <v>64</v>
      </c>
      <c r="F30" s="58">
        <v>80</v>
      </c>
      <c r="G30" s="58">
        <f t="shared" si="0"/>
        <v>72</v>
      </c>
      <c r="H30" s="4">
        <f t="shared" si="1"/>
        <v>4608</v>
      </c>
    </row>
    <row r="31" spans="1:8" x14ac:dyDescent="0.25">
      <c r="A31" t="s">
        <v>21</v>
      </c>
      <c r="B31" t="s">
        <v>22</v>
      </c>
      <c r="C31" s="7" t="s">
        <v>56</v>
      </c>
      <c r="D31" t="s">
        <v>158</v>
      </c>
      <c r="E31" s="58">
        <v>349</v>
      </c>
      <c r="F31" s="58">
        <v>351</v>
      </c>
      <c r="G31" s="58">
        <f t="shared" si="0"/>
        <v>350</v>
      </c>
      <c r="H31" s="4">
        <f t="shared" si="1"/>
        <v>22400</v>
      </c>
    </row>
    <row r="32" spans="1:8" x14ac:dyDescent="0.25">
      <c r="A32" t="s">
        <v>21</v>
      </c>
      <c r="B32" t="s">
        <v>22</v>
      </c>
      <c r="C32" s="7" t="s">
        <v>57</v>
      </c>
      <c r="D32" t="s">
        <v>154</v>
      </c>
      <c r="E32" s="58">
        <v>183</v>
      </c>
      <c r="F32" s="58">
        <v>163</v>
      </c>
      <c r="G32" s="58">
        <f t="shared" si="0"/>
        <v>173</v>
      </c>
      <c r="H32" s="4">
        <f t="shared" si="1"/>
        <v>11072</v>
      </c>
    </row>
    <row r="33" spans="1:8" x14ac:dyDescent="0.25">
      <c r="A33" t="s">
        <v>21</v>
      </c>
      <c r="B33" t="s">
        <v>22</v>
      </c>
      <c r="C33" s="7" t="s">
        <v>58</v>
      </c>
      <c r="D33" t="s">
        <v>59</v>
      </c>
      <c r="E33" s="58">
        <v>56</v>
      </c>
      <c r="F33" s="58">
        <v>55</v>
      </c>
      <c r="G33" s="58">
        <f t="shared" si="0"/>
        <v>55.5</v>
      </c>
      <c r="H33" s="4">
        <f t="shared" si="1"/>
        <v>3552</v>
      </c>
    </row>
    <row r="34" spans="1:8" x14ac:dyDescent="0.25">
      <c r="A34" t="s">
        <v>21</v>
      </c>
      <c r="B34" t="s">
        <v>22</v>
      </c>
      <c r="C34" s="7" t="s">
        <v>146</v>
      </c>
      <c r="D34" t="s">
        <v>147</v>
      </c>
      <c r="E34" s="58">
        <v>61</v>
      </c>
      <c r="F34" s="58">
        <v>77</v>
      </c>
      <c r="G34" s="58">
        <f t="shared" ref="G34:G35" si="3">AVERAGE(E34:F34)</f>
        <v>69</v>
      </c>
      <c r="H34" s="4">
        <f t="shared" si="1"/>
        <v>4416</v>
      </c>
    </row>
    <row r="35" spans="1:8" x14ac:dyDescent="0.25">
      <c r="A35" t="s">
        <v>21</v>
      </c>
      <c r="B35" t="s">
        <v>22</v>
      </c>
      <c r="C35" s="7" t="s">
        <v>148</v>
      </c>
      <c r="D35" t="s">
        <v>149</v>
      </c>
      <c r="E35" s="58">
        <v>1073</v>
      </c>
      <c r="F35" s="58">
        <v>1092</v>
      </c>
      <c r="G35" s="58">
        <f t="shared" si="3"/>
        <v>1082.5</v>
      </c>
      <c r="H35" s="4">
        <f t="shared" si="1"/>
        <v>69280</v>
      </c>
    </row>
    <row r="36" spans="1:8" x14ac:dyDescent="0.25">
      <c r="A36" t="s">
        <v>205</v>
      </c>
      <c r="B36" t="s">
        <v>206</v>
      </c>
      <c r="C36" s="7" t="s">
        <v>62</v>
      </c>
      <c r="D36" t="s">
        <v>152</v>
      </c>
      <c r="E36" s="58">
        <f>2104</f>
        <v>2104</v>
      </c>
      <c r="F36" s="58">
        <f>2084</f>
        <v>2084</v>
      </c>
      <c r="G36" s="58">
        <f t="shared" si="0"/>
        <v>2094</v>
      </c>
      <c r="H36" s="4">
        <f t="shared" si="1"/>
        <v>134016</v>
      </c>
    </row>
    <row r="37" spans="1:8" x14ac:dyDescent="0.25">
      <c r="A37" t="s">
        <v>205</v>
      </c>
      <c r="B37" t="s">
        <v>206</v>
      </c>
      <c r="C37" s="7" t="s">
        <v>207</v>
      </c>
      <c r="D37" t="s">
        <v>208</v>
      </c>
      <c r="E37" s="58">
        <f>262</f>
        <v>262</v>
      </c>
      <c r="F37" s="58">
        <f>286</f>
        <v>286</v>
      </c>
      <c r="G37" s="58">
        <f t="shared" ref="G37" si="4">AVERAGE(E37:F37)</f>
        <v>274</v>
      </c>
      <c r="H37" s="4">
        <f t="shared" ref="H37" si="5">G37*64</f>
        <v>17536</v>
      </c>
    </row>
    <row r="38" spans="1:8" x14ac:dyDescent="0.25">
      <c r="A38" t="s">
        <v>205</v>
      </c>
      <c r="B38" t="s">
        <v>206</v>
      </c>
      <c r="C38" s="7" t="s">
        <v>63</v>
      </c>
      <c r="D38" t="s">
        <v>153</v>
      </c>
      <c r="E38" s="58">
        <f>661</f>
        <v>661</v>
      </c>
      <c r="F38" s="58">
        <v>626</v>
      </c>
      <c r="G38" s="58">
        <f t="shared" si="0"/>
        <v>643.5</v>
      </c>
      <c r="H38" s="4">
        <f t="shared" si="1"/>
        <v>41184</v>
      </c>
    </row>
    <row r="39" spans="1:8" x14ac:dyDescent="0.25">
      <c r="A39" t="s">
        <v>205</v>
      </c>
      <c r="B39" t="s">
        <v>206</v>
      </c>
      <c r="C39" s="7" t="s">
        <v>64</v>
      </c>
      <c r="D39" t="s">
        <v>65</v>
      </c>
      <c r="E39" s="58">
        <v>236</v>
      </c>
      <c r="F39" s="58">
        <v>236</v>
      </c>
      <c r="G39" s="58">
        <f t="shared" si="0"/>
        <v>236</v>
      </c>
      <c r="H39" s="4">
        <f t="shared" si="1"/>
        <v>15104</v>
      </c>
    </row>
    <row r="40" spans="1:8" x14ac:dyDescent="0.25">
      <c r="A40" t="s">
        <v>66</v>
      </c>
      <c r="B40" t="s">
        <v>67</v>
      </c>
      <c r="C40" s="7" t="s">
        <v>68</v>
      </c>
      <c r="D40" t="s">
        <v>69</v>
      </c>
      <c r="E40" s="58">
        <v>209</v>
      </c>
      <c r="F40" s="58">
        <v>198</v>
      </c>
      <c r="G40" s="58">
        <f t="shared" si="0"/>
        <v>203.5</v>
      </c>
      <c r="H40" s="4">
        <f t="shared" si="1"/>
        <v>13024</v>
      </c>
    </row>
    <row r="41" spans="1:8" x14ac:dyDescent="0.25">
      <c r="A41" t="s">
        <v>66</v>
      </c>
      <c r="B41" t="s">
        <v>67</v>
      </c>
      <c r="C41" s="7" t="s">
        <v>70</v>
      </c>
      <c r="D41" t="s">
        <v>71</v>
      </c>
      <c r="E41" s="58">
        <v>192</v>
      </c>
      <c r="F41" s="58">
        <v>183</v>
      </c>
      <c r="G41" s="58">
        <f t="shared" si="0"/>
        <v>187.5</v>
      </c>
      <c r="H41" s="4">
        <f t="shared" si="1"/>
        <v>12000</v>
      </c>
    </row>
    <row r="42" spans="1:8" x14ac:dyDescent="0.25">
      <c r="A42" t="s">
        <v>66</v>
      </c>
      <c r="B42" t="s">
        <v>67</v>
      </c>
      <c r="C42" s="7" t="s">
        <v>72</v>
      </c>
      <c r="D42" t="s">
        <v>155</v>
      </c>
      <c r="E42" s="58">
        <v>999</v>
      </c>
      <c r="F42" s="58">
        <v>1000</v>
      </c>
      <c r="G42" s="58">
        <f t="shared" si="0"/>
        <v>999.5</v>
      </c>
      <c r="H42" s="4">
        <f t="shared" si="1"/>
        <v>63968</v>
      </c>
    </row>
    <row r="43" spans="1:8" x14ac:dyDescent="0.25">
      <c r="A43" t="s">
        <v>205</v>
      </c>
      <c r="B43" t="s">
        <v>206</v>
      </c>
      <c r="C43" s="7" t="s">
        <v>73</v>
      </c>
      <c r="D43" t="s">
        <v>156</v>
      </c>
      <c r="E43" s="58">
        <v>1425</v>
      </c>
      <c r="F43" s="58">
        <v>1666</v>
      </c>
      <c r="G43" s="58">
        <f t="shared" si="0"/>
        <v>1545.5</v>
      </c>
      <c r="H43" s="4">
        <f t="shared" si="1"/>
        <v>98912</v>
      </c>
    </row>
    <row r="44" spans="1:8" x14ac:dyDescent="0.25">
      <c r="A44" t="s">
        <v>205</v>
      </c>
      <c r="B44" t="s">
        <v>206</v>
      </c>
      <c r="C44" s="7" t="s">
        <v>74</v>
      </c>
      <c r="D44" t="s">
        <v>151</v>
      </c>
      <c r="E44" s="58">
        <v>228</v>
      </c>
      <c r="F44" s="58">
        <v>241</v>
      </c>
      <c r="G44" s="58">
        <f t="shared" si="0"/>
        <v>234.5</v>
      </c>
      <c r="H44" s="4">
        <f t="shared" si="1"/>
        <v>15008</v>
      </c>
    </row>
    <row r="45" spans="1:8" x14ac:dyDescent="0.25">
      <c r="E45" s="59">
        <f>SUM(E5:E44)</f>
        <v>16104</v>
      </c>
      <c r="F45" s="59">
        <f>SUM(F5:F44)</f>
        <v>16261</v>
      </c>
      <c r="G45" s="59">
        <f>SUM(G5:G44)</f>
        <v>16182.5</v>
      </c>
      <c r="H45" s="6">
        <f>SUM(H5:H44)</f>
        <v>1035680</v>
      </c>
    </row>
    <row r="46" spans="1:8" x14ac:dyDescent="0.25">
      <c r="E46" s="58"/>
      <c r="F46" s="58"/>
      <c r="G46" s="58"/>
    </row>
    <row r="47" spans="1:8" x14ac:dyDescent="0.25">
      <c r="E47" s="58"/>
      <c r="F47" s="58"/>
      <c r="G47" s="58"/>
    </row>
    <row r="48" spans="1:8" x14ac:dyDescent="0.25">
      <c r="E48" s="58"/>
      <c r="F48" s="58"/>
      <c r="G48" s="58"/>
    </row>
    <row r="49" spans="5:7" x14ac:dyDescent="0.25">
      <c r="E49" s="58"/>
      <c r="F49" s="58"/>
      <c r="G49" s="58"/>
    </row>
    <row r="50" spans="5:7" x14ac:dyDescent="0.25">
      <c r="E50" s="58"/>
      <c r="F50" s="58"/>
      <c r="G50" s="58"/>
    </row>
    <row r="51" spans="5:7" x14ac:dyDescent="0.25">
      <c r="E51" s="58"/>
      <c r="F51" s="58"/>
      <c r="G51" s="58"/>
    </row>
    <row r="52" spans="5:7" x14ac:dyDescent="0.25">
      <c r="E52" s="58"/>
      <c r="F52" s="58"/>
      <c r="G52" s="58"/>
    </row>
    <row r="53" spans="5:7" x14ac:dyDescent="0.25">
      <c r="E53" s="58"/>
      <c r="F53" s="58"/>
      <c r="G53" s="58"/>
    </row>
    <row r="54" spans="5:7" x14ac:dyDescent="0.25">
      <c r="E54" s="58"/>
      <c r="F54" s="58"/>
      <c r="G54" s="58"/>
    </row>
  </sheetData>
  <autoFilter ref="A4:H45"/>
  <pageMargins left="0.25" right="0.25" top="0.5" bottom="0.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K27" sqref="K27"/>
    </sheetView>
  </sheetViews>
  <sheetFormatPr defaultRowHeight="15" x14ac:dyDescent="0.25"/>
  <cols>
    <col min="1" max="1" width="35.7109375" customWidth="1"/>
    <col min="2" max="2" width="18" style="54" customWidth="1"/>
    <col min="3" max="3" width="17.7109375" style="4" customWidth="1"/>
    <col min="4" max="4" width="5.28515625" customWidth="1"/>
    <col min="5" max="6" width="9.140625" style="7"/>
    <col min="7" max="7" width="34.85546875" customWidth="1"/>
    <col min="8" max="8" width="15.42578125" style="4" customWidth="1"/>
    <col min="9" max="9" width="9.140625" style="7"/>
    <col min="10" max="10" width="24.85546875" customWidth="1"/>
  </cols>
  <sheetData>
    <row r="1" spans="1:10" ht="21" x14ac:dyDescent="0.35">
      <c r="A1" s="3" t="s">
        <v>204</v>
      </c>
    </row>
    <row r="2" spans="1:10" ht="21" x14ac:dyDescent="0.35">
      <c r="A2" s="3" t="s">
        <v>161</v>
      </c>
    </row>
    <row r="3" spans="1:10" ht="15.75" thickBot="1" x14ac:dyDescent="0.3"/>
    <row r="4" spans="1:10" s="49" customFormat="1" ht="30.75" thickBot="1" x14ac:dyDescent="0.3">
      <c r="A4" s="84" t="s">
        <v>128</v>
      </c>
      <c r="B4" s="85" t="s">
        <v>130</v>
      </c>
      <c r="C4" s="86" t="s">
        <v>181</v>
      </c>
      <c r="D4" s="87"/>
      <c r="E4" s="24" t="s">
        <v>88</v>
      </c>
      <c r="F4" s="25" t="s">
        <v>89</v>
      </c>
      <c r="G4" s="25" t="s">
        <v>90</v>
      </c>
      <c r="H4" s="51" t="s">
        <v>91</v>
      </c>
      <c r="I4" s="25" t="s">
        <v>92</v>
      </c>
      <c r="J4" s="52" t="s">
        <v>93</v>
      </c>
    </row>
    <row r="5" spans="1:10" x14ac:dyDescent="0.25">
      <c r="A5" s="77" t="s">
        <v>61</v>
      </c>
      <c r="B5" s="78">
        <v>2094</v>
      </c>
      <c r="C5" s="79">
        <f>B5*64</f>
        <v>134016</v>
      </c>
      <c r="E5" s="74" t="s">
        <v>193</v>
      </c>
      <c r="F5" s="64" t="s">
        <v>132</v>
      </c>
      <c r="G5" s="44" t="s">
        <v>105</v>
      </c>
      <c r="H5" s="73">
        <f>C5</f>
        <v>134016</v>
      </c>
      <c r="I5" s="64">
        <v>71410</v>
      </c>
      <c r="J5" s="65" t="s">
        <v>131</v>
      </c>
    </row>
    <row r="6" spans="1:10" x14ac:dyDescent="0.25">
      <c r="A6" s="77"/>
      <c r="B6" s="78"/>
      <c r="C6" s="79"/>
      <c r="E6" s="66"/>
      <c r="F6" s="67"/>
      <c r="G6" s="68"/>
      <c r="H6" s="69"/>
      <c r="I6" s="67"/>
      <c r="J6" s="70"/>
    </row>
    <row r="7" spans="1:10" x14ac:dyDescent="0.25">
      <c r="A7" s="77" t="s">
        <v>165</v>
      </c>
      <c r="B7" s="78">
        <v>519</v>
      </c>
      <c r="C7" s="79">
        <f t="shared" ref="C7:C16" si="0">B7*64</f>
        <v>33216</v>
      </c>
      <c r="E7" s="66"/>
      <c r="F7" s="67"/>
      <c r="G7" s="68"/>
      <c r="H7" s="69"/>
      <c r="I7" s="67"/>
      <c r="J7" s="70"/>
    </row>
    <row r="8" spans="1:10" x14ac:dyDescent="0.25">
      <c r="A8" s="80" t="s">
        <v>210</v>
      </c>
      <c r="B8" s="78">
        <v>3</v>
      </c>
      <c r="C8" s="79">
        <f t="shared" si="0"/>
        <v>192</v>
      </c>
      <c r="E8" s="75">
        <v>10070</v>
      </c>
      <c r="F8" s="67">
        <v>23151</v>
      </c>
      <c r="G8" s="44" t="s">
        <v>127</v>
      </c>
      <c r="H8" s="76">
        <f t="shared" ref="H8:H16" si="1">C8</f>
        <v>192</v>
      </c>
      <c r="I8" s="67">
        <v>74180</v>
      </c>
      <c r="J8" s="70" t="s">
        <v>195</v>
      </c>
    </row>
    <row r="9" spans="1:10" x14ac:dyDescent="0.25">
      <c r="A9" s="80" t="s">
        <v>212</v>
      </c>
      <c r="B9" s="78">
        <v>6</v>
      </c>
      <c r="C9" s="79">
        <f t="shared" si="0"/>
        <v>384</v>
      </c>
      <c r="E9" s="75">
        <v>21501</v>
      </c>
      <c r="F9" s="67">
        <v>23151</v>
      </c>
      <c r="G9" s="44" t="s">
        <v>127</v>
      </c>
      <c r="H9" s="76">
        <f t="shared" si="1"/>
        <v>384</v>
      </c>
      <c r="I9" s="67">
        <v>74180</v>
      </c>
      <c r="J9" s="70" t="s">
        <v>195</v>
      </c>
    </row>
    <row r="10" spans="1:10" x14ac:dyDescent="0.25">
      <c r="A10" s="80" t="s">
        <v>196</v>
      </c>
      <c r="B10" s="78">
        <v>13</v>
      </c>
      <c r="C10" s="79">
        <f t="shared" si="0"/>
        <v>832</v>
      </c>
      <c r="E10" s="75">
        <v>31650</v>
      </c>
      <c r="F10" s="67">
        <v>23151</v>
      </c>
      <c r="G10" s="44" t="s">
        <v>105</v>
      </c>
      <c r="H10" s="76">
        <f t="shared" si="1"/>
        <v>832</v>
      </c>
      <c r="I10" s="67">
        <v>74180</v>
      </c>
      <c r="J10" s="70" t="s">
        <v>195</v>
      </c>
    </row>
    <row r="11" spans="1:10" x14ac:dyDescent="0.25">
      <c r="A11" s="80" t="s">
        <v>197</v>
      </c>
      <c r="B11" s="78">
        <v>113</v>
      </c>
      <c r="C11" s="79">
        <f t="shared" si="0"/>
        <v>7232</v>
      </c>
      <c r="E11" s="75">
        <v>23135</v>
      </c>
      <c r="F11" s="67">
        <v>23151</v>
      </c>
      <c r="G11" s="44" t="s">
        <v>105</v>
      </c>
      <c r="H11" s="76">
        <f t="shared" si="1"/>
        <v>7232</v>
      </c>
      <c r="I11" s="67">
        <v>74180</v>
      </c>
      <c r="J11" s="70" t="s">
        <v>195</v>
      </c>
    </row>
    <row r="12" spans="1:10" x14ac:dyDescent="0.25">
      <c r="A12" s="80" t="s">
        <v>199</v>
      </c>
      <c r="B12" s="78">
        <v>28</v>
      </c>
      <c r="C12" s="79">
        <f t="shared" si="0"/>
        <v>1792</v>
      </c>
      <c r="E12" s="75">
        <v>10075</v>
      </c>
      <c r="F12" s="67">
        <v>23151</v>
      </c>
      <c r="G12" s="44" t="s">
        <v>105</v>
      </c>
      <c r="H12" s="76">
        <f t="shared" si="1"/>
        <v>1792</v>
      </c>
      <c r="I12" s="67">
        <v>74180</v>
      </c>
      <c r="J12" s="70" t="s">
        <v>195</v>
      </c>
    </row>
    <row r="13" spans="1:10" x14ac:dyDescent="0.25">
      <c r="A13" s="80" t="s">
        <v>213</v>
      </c>
      <c r="B13" s="78">
        <v>301</v>
      </c>
      <c r="C13" s="79">
        <f t="shared" si="0"/>
        <v>19264</v>
      </c>
      <c r="E13" s="75">
        <v>23437</v>
      </c>
      <c r="F13" s="67">
        <v>23151</v>
      </c>
      <c r="G13" s="44" t="s">
        <v>125</v>
      </c>
      <c r="H13" s="76">
        <f t="shared" si="1"/>
        <v>19264</v>
      </c>
      <c r="I13" s="67">
        <v>74180</v>
      </c>
      <c r="J13" s="70" t="s">
        <v>195</v>
      </c>
    </row>
    <row r="14" spans="1:10" x14ac:dyDescent="0.25">
      <c r="A14" s="80" t="s">
        <v>200</v>
      </c>
      <c r="B14" s="78">
        <v>29</v>
      </c>
      <c r="C14" s="79">
        <f t="shared" si="0"/>
        <v>1856</v>
      </c>
      <c r="E14" s="75">
        <v>21880</v>
      </c>
      <c r="F14" s="67">
        <v>23151</v>
      </c>
      <c r="G14" s="44" t="s">
        <v>105</v>
      </c>
      <c r="H14" s="76">
        <f t="shared" si="1"/>
        <v>1856</v>
      </c>
      <c r="I14" s="67">
        <v>74180</v>
      </c>
      <c r="J14" s="70" t="s">
        <v>195</v>
      </c>
    </row>
    <row r="15" spans="1:10" x14ac:dyDescent="0.25">
      <c r="A15" s="80" t="s">
        <v>201</v>
      </c>
      <c r="B15" s="78">
        <v>5</v>
      </c>
      <c r="C15" s="79">
        <f t="shared" si="0"/>
        <v>320</v>
      </c>
      <c r="E15" s="75">
        <v>10120</v>
      </c>
      <c r="F15" s="67">
        <v>23151</v>
      </c>
      <c r="G15" s="44" t="s">
        <v>105</v>
      </c>
      <c r="H15" s="76">
        <f t="shared" si="1"/>
        <v>320</v>
      </c>
      <c r="I15" s="67">
        <v>74180</v>
      </c>
      <c r="J15" s="70" t="s">
        <v>195</v>
      </c>
    </row>
    <row r="16" spans="1:10" x14ac:dyDescent="0.25">
      <c r="A16" s="80" t="s">
        <v>211</v>
      </c>
      <c r="B16" s="78">
        <v>21</v>
      </c>
      <c r="C16" s="79">
        <f t="shared" si="0"/>
        <v>1344</v>
      </c>
      <c r="E16" s="75">
        <v>21866</v>
      </c>
      <c r="F16" s="67">
        <v>23151</v>
      </c>
      <c r="G16" s="44" t="s">
        <v>105</v>
      </c>
      <c r="H16" s="76">
        <f t="shared" si="1"/>
        <v>1344</v>
      </c>
      <c r="I16" s="67">
        <v>74180</v>
      </c>
      <c r="J16" s="70" t="s">
        <v>195</v>
      </c>
    </row>
    <row r="17" spans="1:10" x14ac:dyDescent="0.25">
      <c r="A17" s="77"/>
      <c r="B17" s="78"/>
      <c r="C17" s="79"/>
      <c r="E17" s="66"/>
      <c r="F17" s="67"/>
      <c r="G17" s="68"/>
      <c r="H17" s="69"/>
      <c r="I17" s="67"/>
      <c r="J17" s="70"/>
    </row>
    <row r="18" spans="1:10" x14ac:dyDescent="0.25">
      <c r="A18" s="77" t="s">
        <v>167</v>
      </c>
      <c r="B18" s="78">
        <v>684</v>
      </c>
      <c r="C18" s="79">
        <f>B18*64</f>
        <v>43776</v>
      </c>
      <c r="E18" s="75">
        <v>32475</v>
      </c>
      <c r="F18" s="67">
        <v>23151</v>
      </c>
      <c r="G18" s="44" t="s">
        <v>105</v>
      </c>
      <c r="H18" s="76">
        <f>C18</f>
        <v>43776</v>
      </c>
      <c r="I18" s="67">
        <v>74180</v>
      </c>
      <c r="J18" s="70" t="s">
        <v>195</v>
      </c>
    </row>
    <row r="19" spans="1:10" x14ac:dyDescent="0.25">
      <c r="A19" s="77"/>
      <c r="B19" s="78"/>
      <c r="C19" s="79"/>
      <c r="E19" s="66"/>
      <c r="F19" s="67"/>
      <c r="G19" s="68"/>
      <c r="H19" s="69"/>
      <c r="I19" s="67"/>
      <c r="J19" s="70"/>
    </row>
    <row r="20" spans="1:10" x14ac:dyDescent="0.25">
      <c r="A20" s="77" t="s">
        <v>169</v>
      </c>
      <c r="B20" s="78">
        <v>158</v>
      </c>
      <c r="C20" s="79">
        <f>B20*64</f>
        <v>10112</v>
      </c>
      <c r="E20" s="66"/>
      <c r="F20" s="67"/>
      <c r="G20" s="68"/>
      <c r="H20" s="69"/>
      <c r="I20" s="67"/>
      <c r="J20" s="70"/>
    </row>
    <row r="21" spans="1:10" x14ac:dyDescent="0.25">
      <c r="A21" s="80" t="s">
        <v>194</v>
      </c>
      <c r="B21" s="78">
        <v>1</v>
      </c>
      <c r="C21" s="79">
        <f>B21*64</f>
        <v>64</v>
      </c>
      <c r="E21" s="75">
        <v>21685</v>
      </c>
      <c r="F21" s="67">
        <v>23151</v>
      </c>
      <c r="G21" s="44" t="s">
        <v>105</v>
      </c>
      <c r="H21" s="76">
        <f>C21</f>
        <v>64</v>
      </c>
      <c r="I21" s="67">
        <v>74180</v>
      </c>
      <c r="J21" s="70" t="s">
        <v>195</v>
      </c>
    </row>
    <row r="22" spans="1:10" x14ac:dyDescent="0.25">
      <c r="A22" s="80" t="s">
        <v>214</v>
      </c>
      <c r="B22" s="78">
        <v>157</v>
      </c>
      <c r="C22" s="79">
        <f>B22*64</f>
        <v>10048</v>
      </c>
      <c r="E22" s="75">
        <v>23361</v>
      </c>
      <c r="F22" s="67">
        <v>23151</v>
      </c>
      <c r="G22" s="44" t="s">
        <v>105</v>
      </c>
      <c r="H22" s="76">
        <f>C22</f>
        <v>10048</v>
      </c>
      <c r="I22" s="67">
        <v>74180</v>
      </c>
      <c r="J22" s="70" t="s">
        <v>195</v>
      </c>
    </row>
    <row r="23" spans="1:10" x14ac:dyDescent="0.25">
      <c r="A23" s="77"/>
      <c r="B23" s="78"/>
      <c r="C23" s="79"/>
      <c r="E23" s="66"/>
      <c r="F23" s="67"/>
      <c r="G23" s="68"/>
      <c r="H23" s="69"/>
      <c r="I23" s="67"/>
      <c r="J23" s="70"/>
    </row>
    <row r="24" spans="1:10" x14ac:dyDescent="0.25">
      <c r="A24" s="77" t="s">
        <v>171</v>
      </c>
      <c r="B24" s="78">
        <v>59</v>
      </c>
      <c r="C24" s="79">
        <f>B24*64</f>
        <v>3776</v>
      </c>
      <c r="E24" s="75">
        <v>21940</v>
      </c>
      <c r="F24" s="67">
        <v>23151</v>
      </c>
      <c r="G24" s="44" t="s">
        <v>105</v>
      </c>
      <c r="H24" s="76">
        <f>'VCAF by Dept'!H8</f>
        <v>3776</v>
      </c>
      <c r="I24" s="67">
        <v>74180</v>
      </c>
      <c r="J24" s="70" t="s">
        <v>195</v>
      </c>
    </row>
    <row r="25" spans="1:10" x14ac:dyDescent="0.25">
      <c r="A25" s="77"/>
      <c r="B25" s="78"/>
      <c r="C25" s="79"/>
      <c r="E25" s="66"/>
      <c r="F25" s="67"/>
      <c r="G25" s="68"/>
      <c r="H25" s="69"/>
      <c r="I25" s="67"/>
      <c r="J25" s="70"/>
    </row>
    <row r="26" spans="1:10" x14ac:dyDescent="0.25">
      <c r="A26" s="77" t="s">
        <v>173</v>
      </c>
      <c r="B26" s="78">
        <v>99</v>
      </c>
      <c r="C26" s="79">
        <f>B26*64</f>
        <v>6336</v>
      </c>
      <c r="E26" s="75">
        <v>14800</v>
      </c>
      <c r="F26" s="67">
        <v>23151</v>
      </c>
      <c r="G26" s="44" t="s">
        <v>105</v>
      </c>
      <c r="H26" s="76">
        <f>'VCAF by Dept'!H9</f>
        <v>6336</v>
      </c>
      <c r="I26" s="67">
        <v>74180</v>
      </c>
      <c r="J26" s="70" t="s">
        <v>195</v>
      </c>
    </row>
    <row r="27" spans="1:10" x14ac:dyDescent="0.25">
      <c r="A27" s="77"/>
      <c r="B27" s="78"/>
      <c r="C27" s="79"/>
      <c r="E27" s="66"/>
      <c r="F27" s="67"/>
      <c r="G27" s="68"/>
      <c r="H27" s="69"/>
      <c r="I27" s="67"/>
      <c r="J27" s="70"/>
    </row>
    <row r="28" spans="1:10" x14ac:dyDescent="0.25">
      <c r="A28" s="77" t="s">
        <v>175</v>
      </c>
      <c r="B28" s="78">
        <v>279</v>
      </c>
      <c r="C28" s="79">
        <f>B28*64</f>
        <v>17856</v>
      </c>
      <c r="E28" s="75">
        <v>22748</v>
      </c>
      <c r="F28" s="67">
        <v>23151</v>
      </c>
      <c r="G28" s="44" t="s">
        <v>105</v>
      </c>
      <c r="H28" s="76">
        <f>C28</f>
        <v>17856</v>
      </c>
      <c r="I28" s="67">
        <v>74180</v>
      </c>
      <c r="J28" s="70" t="s">
        <v>195</v>
      </c>
    </row>
    <row r="29" spans="1:10" x14ac:dyDescent="0.25">
      <c r="A29" s="77"/>
      <c r="B29" s="78"/>
      <c r="C29" s="79"/>
      <c r="E29" s="66"/>
      <c r="F29" s="67"/>
      <c r="G29" s="68"/>
      <c r="H29" s="69"/>
      <c r="I29" s="67"/>
      <c r="J29" s="70"/>
    </row>
    <row r="30" spans="1:10" x14ac:dyDescent="0.25">
      <c r="A30" s="77" t="s">
        <v>177</v>
      </c>
      <c r="B30" s="78">
        <v>15</v>
      </c>
      <c r="C30" s="79">
        <f>B30*64</f>
        <v>960</v>
      </c>
      <c r="E30" s="66"/>
      <c r="F30" s="67"/>
      <c r="G30" s="68"/>
      <c r="H30" s="69"/>
      <c r="I30" s="67"/>
      <c r="J30" s="70"/>
    </row>
    <row r="31" spans="1:10" x14ac:dyDescent="0.25">
      <c r="A31" s="80" t="s">
        <v>198</v>
      </c>
      <c r="B31" s="78">
        <v>10</v>
      </c>
      <c r="C31" s="79">
        <f>B31*64</f>
        <v>640</v>
      </c>
      <c r="E31" s="75">
        <v>32329</v>
      </c>
      <c r="F31" s="67">
        <v>23151</v>
      </c>
      <c r="G31" s="44" t="s">
        <v>105</v>
      </c>
      <c r="H31" s="76">
        <f>C31</f>
        <v>640</v>
      </c>
      <c r="I31" s="67">
        <v>74180</v>
      </c>
      <c r="J31" s="70" t="s">
        <v>195</v>
      </c>
    </row>
    <row r="32" spans="1:10" x14ac:dyDescent="0.25">
      <c r="A32" s="80" t="s">
        <v>202</v>
      </c>
      <c r="B32" s="78">
        <v>5</v>
      </c>
      <c r="C32" s="79">
        <f>B32*64</f>
        <v>320</v>
      </c>
      <c r="E32" s="75">
        <v>21410</v>
      </c>
      <c r="F32" s="67">
        <v>23151</v>
      </c>
      <c r="G32" s="44" t="s">
        <v>105</v>
      </c>
      <c r="H32" s="76">
        <f>C32</f>
        <v>320</v>
      </c>
      <c r="I32" s="67">
        <v>75195</v>
      </c>
      <c r="J32" s="70" t="s">
        <v>203</v>
      </c>
    </row>
    <row r="33" spans="1:10" x14ac:dyDescent="0.25">
      <c r="A33" s="77"/>
      <c r="B33" s="78"/>
      <c r="C33" s="79"/>
      <c r="E33" s="66"/>
      <c r="F33" s="67"/>
      <c r="G33" s="68"/>
      <c r="H33" s="69"/>
      <c r="I33" s="67"/>
      <c r="J33" s="70"/>
    </row>
    <row r="34" spans="1:10" x14ac:dyDescent="0.25">
      <c r="A34" s="77" t="s">
        <v>179</v>
      </c>
      <c r="B34" s="78">
        <v>281</v>
      </c>
      <c r="C34" s="79">
        <f>B34*64</f>
        <v>17984</v>
      </c>
      <c r="E34" s="75">
        <v>26177</v>
      </c>
      <c r="F34" s="67">
        <v>23151</v>
      </c>
      <c r="G34" s="44" t="s">
        <v>105</v>
      </c>
      <c r="H34" s="76">
        <f>C34</f>
        <v>17984</v>
      </c>
      <c r="I34" s="67">
        <v>74180</v>
      </c>
      <c r="J34" s="70" t="s">
        <v>195</v>
      </c>
    </row>
    <row r="35" spans="1:10" ht="15.75" thickBot="1" x14ac:dyDescent="0.3">
      <c r="A35" s="81"/>
      <c r="B35" s="82"/>
      <c r="C35" s="83"/>
      <c r="E35" s="88"/>
      <c r="F35" s="71"/>
      <c r="G35" s="89"/>
      <c r="H35" s="90"/>
      <c r="I35" s="71"/>
      <c r="J35" s="72"/>
    </row>
  </sheetData>
  <pageMargins left="0.25" right="0.25" top="0.75" bottom="0.75" header="0.3" footer="0.3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'Allowable Funds'!$H$2:$H$9</xm:f>
          </x14:formula1>
          <xm:sqref>G34</xm:sqref>
        </x14:dataValidation>
        <x14:dataValidation type="list" allowBlank="1" showInputMessage="1" showErrorMessage="1">
          <x14:formula1>
            <xm:f>'Allowable Funds'!$H$2:$H$9</xm:f>
          </x14:formula1>
          <xm:sqref>G5</xm:sqref>
        </x14:dataValidation>
        <x14:dataValidation type="list" allowBlank="1" showInputMessage="1" showErrorMessage="1">
          <x14:formula1>
            <xm:f>'Allowable Funds'!$H$2:$H$9</xm:f>
          </x14:formula1>
          <xm:sqref>G18</xm:sqref>
        </x14:dataValidation>
        <x14:dataValidation type="list" allowBlank="1" showInputMessage="1" showErrorMessage="1">
          <x14:formula1>
            <xm:f>'Allowable Funds'!$H$2:$H$9</xm:f>
          </x14:formula1>
          <xm:sqref>G21:G22</xm:sqref>
        </x14:dataValidation>
        <x14:dataValidation type="list" allowBlank="1" showInputMessage="1" showErrorMessage="1">
          <x14:formula1>
            <xm:f>'Allowable Funds'!$H$2:$H$9</xm:f>
          </x14:formula1>
          <xm:sqref>G24</xm:sqref>
        </x14:dataValidation>
        <x14:dataValidation type="list" allowBlank="1" showInputMessage="1" showErrorMessage="1">
          <x14:formula1>
            <xm:f>'Allowable Funds'!$H$2:$H$9</xm:f>
          </x14:formula1>
          <xm:sqref>G26</xm:sqref>
        </x14:dataValidation>
        <x14:dataValidation type="list" allowBlank="1" showInputMessage="1" showErrorMessage="1">
          <x14:formula1>
            <xm:f>'Allowable Funds'!$H$2:$H$9</xm:f>
          </x14:formula1>
          <xm:sqref>G28</xm:sqref>
        </x14:dataValidation>
        <x14:dataValidation type="list" allowBlank="1" showInputMessage="1" showErrorMessage="1">
          <x14:formula1>
            <xm:f>'Allowable Funds'!$H$2:$H$9</xm:f>
          </x14:formula1>
          <xm:sqref>G31:G32</xm:sqref>
        </x14:dataValidation>
        <x14:dataValidation type="list" allowBlank="1" showInputMessage="1" showErrorMessage="1">
          <x14:formula1>
            <xm:f>'Allowable Funds'!$H$2:$H$9</xm:f>
          </x14:formula1>
          <xm:sqref>G8:G16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16" sqref="D16"/>
    </sheetView>
  </sheetViews>
  <sheetFormatPr defaultRowHeight="15" x14ac:dyDescent="0.25"/>
  <cols>
    <col min="1" max="1" width="11.85546875" customWidth="1"/>
    <col min="2" max="2" width="35.28515625" customWidth="1"/>
    <col min="3" max="3" width="10.140625" style="7" customWidth="1"/>
    <col min="4" max="4" width="30.5703125" customWidth="1"/>
    <col min="5" max="5" width="13.7109375" style="54" customWidth="1"/>
    <col min="6" max="6" width="13.42578125" style="54" customWidth="1"/>
    <col min="7" max="7" width="14.42578125" style="54" customWidth="1"/>
    <col min="8" max="8" width="15.7109375" style="4" customWidth="1"/>
  </cols>
  <sheetData>
    <row r="1" spans="1:8" ht="21" x14ac:dyDescent="0.35">
      <c r="A1" s="3" t="s">
        <v>0</v>
      </c>
    </row>
    <row r="2" spans="1:8" ht="21" x14ac:dyDescent="0.35">
      <c r="A2" s="3" t="s">
        <v>182</v>
      </c>
    </row>
    <row r="3" spans="1:8" ht="30" x14ac:dyDescent="0.25">
      <c r="E3" s="55" t="s">
        <v>76</v>
      </c>
      <c r="F3" s="55"/>
    </row>
    <row r="4" spans="1:8" s="1" customFormat="1" ht="30.75" thickBot="1" x14ac:dyDescent="0.3">
      <c r="A4" s="2" t="s">
        <v>3</v>
      </c>
      <c r="B4" s="2" t="s">
        <v>4</v>
      </c>
      <c r="C4" s="2" t="s">
        <v>163</v>
      </c>
      <c r="D4" s="2" t="s">
        <v>162</v>
      </c>
      <c r="E4" s="57">
        <v>42095</v>
      </c>
      <c r="F4" s="57">
        <v>42278</v>
      </c>
      <c r="G4" s="56" t="s">
        <v>5</v>
      </c>
      <c r="H4" s="5" t="s">
        <v>180</v>
      </c>
    </row>
    <row r="5" spans="1:8" x14ac:dyDescent="0.25">
      <c r="A5" t="s">
        <v>60</v>
      </c>
      <c r="B5" t="s">
        <v>152</v>
      </c>
      <c r="C5" t="s">
        <v>164</v>
      </c>
      <c r="D5" t="s">
        <v>165</v>
      </c>
      <c r="E5" s="58">
        <v>517</v>
      </c>
      <c r="F5">
        <v>520</v>
      </c>
      <c r="G5" s="91">
        <f t="shared" ref="G5" si="0">AVERAGE(E5:F5)</f>
        <v>518.5</v>
      </c>
      <c r="H5" s="4">
        <f>G5*64</f>
        <v>33184</v>
      </c>
    </row>
    <row r="6" spans="1:8" x14ac:dyDescent="0.25">
      <c r="A6" t="s">
        <v>60</v>
      </c>
      <c r="B6" t="s">
        <v>152</v>
      </c>
      <c r="C6" t="s">
        <v>166</v>
      </c>
      <c r="D6" t="s">
        <v>167</v>
      </c>
      <c r="E6">
        <v>699</v>
      </c>
      <c r="F6">
        <v>673</v>
      </c>
      <c r="G6" s="91">
        <f t="shared" ref="G6:G12" si="1">AVERAGE(E6:F6)</f>
        <v>686</v>
      </c>
      <c r="H6" s="4">
        <f t="shared" ref="H6:H12" si="2">G6*64</f>
        <v>43904</v>
      </c>
    </row>
    <row r="7" spans="1:8" x14ac:dyDescent="0.25">
      <c r="A7" t="s">
        <v>60</v>
      </c>
      <c r="B7" t="s">
        <v>152</v>
      </c>
      <c r="C7" t="s">
        <v>168</v>
      </c>
      <c r="D7" t="s">
        <v>169</v>
      </c>
      <c r="E7">
        <v>161</v>
      </c>
      <c r="F7">
        <v>155</v>
      </c>
      <c r="G7" s="91">
        <f t="shared" si="1"/>
        <v>158</v>
      </c>
      <c r="H7" s="4">
        <f t="shared" si="2"/>
        <v>10112</v>
      </c>
    </row>
    <row r="8" spans="1:8" x14ac:dyDescent="0.25">
      <c r="A8" t="s">
        <v>60</v>
      </c>
      <c r="B8" t="s">
        <v>152</v>
      </c>
      <c r="C8" t="s">
        <v>170</v>
      </c>
      <c r="D8" t="s">
        <v>171</v>
      </c>
      <c r="E8">
        <v>60</v>
      </c>
      <c r="F8">
        <v>58</v>
      </c>
      <c r="G8" s="91">
        <f t="shared" si="1"/>
        <v>59</v>
      </c>
      <c r="H8" s="4">
        <f t="shared" si="2"/>
        <v>3776</v>
      </c>
    </row>
    <row r="9" spans="1:8" x14ac:dyDescent="0.25">
      <c r="A9" t="s">
        <v>60</v>
      </c>
      <c r="B9" t="s">
        <v>152</v>
      </c>
      <c r="C9" t="s">
        <v>172</v>
      </c>
      <c r="D9" t="s">
        <v>173</v>
      </c>
      <c r="E9">
        <v>88</v>
      </c>
      <c r="F9">
        <v>110</v>
      </c>
      <c r="G9" s="91">
        <f t="shared" si="1"/>
        <v>99</v>
      </c>
      <c r="H9" s="4">
        <f t="shared" si="2"/>
        <v>6336</v>
      </c>
    </row>
    <row r="10" spans="1:8" x14ac:dyDescent="0.25">
      <c r="A10" t="s">
        <v>60</v>
      </c>
      <c r="B10" t="s">
        <v>152</v>
      </c>
      <c r="C10" t="s">
        <v>174</v>
      </c>
      <c r="D10" t="s">
        <v>175</v>
      </c>
      <c r="E10">
        <v>285</v>
      </c>
      <c r="F10">
        <v>272</v>
      </c>
      <c r="G10" s="91">
        <f t="shared" si="1"/>
        <v>278.5</v>
      </c>
      <c r="H10" s="4">
        <f t="shared" si="2"/>
        <v>17824</v>
      </c>
    </row>
    <row r="11" spans="1:8" x14ac:dyDescent="0.25">
      <c r="A11" t="s">
        <v>60</v>
      </c>
      <c r="B11" t="s">
        <v>152</v>
      </c>
      <c r="C11" t="s">
        <v>176</v>
      </c>
      <c r="D11" t="s">
        <v>177</v>
      </c>
      <c r="E11">
        <v>15</v>
      </c>
      <c r="F11">
        <v>14</v>
      </c>
      <c r="G11" s="91">
        <f t="shared" si="1"/>
        <v>14.5</v>
      </c>
      <c r="H11" s="4">
        <f t="shared" si="2"/>
        <v>928</v>
      </c>
    </row>
    <row r="12" spans="1:8" x14ac:dyDescent="0.25">
      <c r="A12" t="s">
        <v>60</v>
      </c>
      <c r="B12" t="s">
        <v>152</v>
      </c>
      <c r="C12" t="s">
        <v>178</v>
      </c>
      <c r="D12" t="s">
        <v>179</v>
      </c>
      <c r="E12">
        <v>279</v>
      </c>
      <c r="F12">
        <v>282</v>
      </c>
      <c r="G12" s="91">
        <f t="shared" si="1"/>
        <v>280.5</v>
      </c>
      <c r="H12" s="4">
        <f t="shared" si="2"/>
        <v>17952</v>
      </c>
    </row>
    <row r="13" spans="1:8" ht="15.75" thickBot="1" x14ac:dyDescent="0.3">
      <c r="E13" s="58"/>
      <c r="F13" s="58"/>
      <c r="G13" s="61">
        <f>SUM(G5:G12)</f>
        <v>2094</v>
      </c>
      <c r="H13" s="62">
        <f>SUM(H5:H12)</f>
        <v>134016</v>
      </c>
    </row>
    <row r="14" spans="1:8" ht="15.75" thickTop="1" x14ac:dyDescent="0.25">
      <c r="E14" s="58"/>
      <c r="F14" s="58"/>
      <c r="G14" s="58"/>
    </row>
    <row r="15" spans="1:8" x14ac:dyDescent="0.25">
      <c r="E15" s="58"/>
      <c r="F15" s="58"/>
      <c r="G15" s="58"/>
    </row>
    <row r="16" spans="1:8" x14ac:dyDescent="0.25">
      <c r="E16" s="58"/>
      <c r="F16" s="58"/>
      <c r="G16" s="58"/>
    </row>
    <row r="17" spans="1:7" x14ac:dyDescent="0.25">
      <c r="E17" s="58"/>
      <c r="F17" s="58"/>
      <c r="G17" s="58"/>
    </row>
    <row r="18" spans="1:7" x14ac:dyDescent="0.25">
      <c r="E18" s="58"/>
      <c r="F18" s="58"/>
      <c r="G18" s="58"/>
    </row>
    <row r="19" spans="1:7" x14ac:dyDescent="0.25">
      <c r="E19" s="58"/>
      <c r="F19" s="58"/>
      <c r="G19" s="58"/>
    </row>
    <row r="20" spans="1:7" x14ac:dyDescent="0.25">
      <c r="E20" s="58"/>
      <c r="F20" s="58"/>
      <c r="G20" s="58"/>
    </row>
    <row r="21" spans="1:7" x14ac:dyDescent="0.25">
      <c r="E21" s="58"/>
      <c r="F21" s="58"/>
      <c r="G21" s="58"/>
    </row>
    <row r="22" spans="1:7" x14ac:dyDescent="0.25">
      <c r="E22" s="58"/>
      <c r="F22" s="58"/>
      <c r="G22" s="58"/>
    </row>
    <row r="23" spans="1:7" x14ac:dyDescent="0.25">
      <c r="E23" s="58"/>
      <c r="F23" s="58"/>
      <c r="G23" s="58"/>
    </row>
    <row r="24" spans="1:7" x14ac:dyDescent="0.25">
      <c r="E24" s="58"/>
      <c r="F24" s="58"/>
      <c r="G24" s="58"/>
    </row>
    <row r="25" spans="1:7" x14ac:dyDescent="0.25">
      <c r="E25" s="58"/>
      <c r="F25" s="58"/>
      <c r="G25" s="58"/>
    </row>
    <row r="26" spans="1:7" x14ac:dyDescent="0.25">
      <c r="E26" s="58"/>
      <c r="F26" s="58"/>
      <c r="G26" s="58"/>
    </row>
    <row r="27" spans="1:7" x14ac:dyDescent="0.25">
      <c r="E27" s="58"/>
      <c r="F27" s="58"/>
      <c r="G27" s="58"/>
    </row>
    <row r="28" spans="1:7" x14ac:dyDescent="0.25">
      <c r="E28" s="58"/>
      <c r="F28" s="58"/>
      <c r="G28" s="58"/>
    </row>
    <row r="29" spans="1:7" x14ac:dyDescent="0.25">
      <c r="E29" s="58"/>
      <c r="F29" s="58"/>
      <c r="G29" s="58"/>
    </row>
    <row r="30" spans="1:7" x14ac:dyDescent="0.25">
      <c r="E30" s="58"/>
      <c r="F30" s="58"/>
      <c r="G30" s="58"/>
    </row>
    <row r="31" spans="1:7" s="4" customFormat="1" x14ac:dyDescent="0.25">
      <c r="A31"/>
      <c r="B31"/>
      <c r="C31" s="7"/>
      <c r="D31"/>
      <c r="E31" s="58"/>
      <c r="F31" s="58"/>
      <c r="G31" s="58"/>
    </row>
    <row r="32" spans="1:7" s="4" customFormat="1" x14ac:dyDescent="0.25">
      <c r="A32"/>
      <c r="B32"/>
      <c r="C32" s="7"/>
      <c r="D32"/>
      <c r="E32" s="58"/>
      <c r="F32" s="58"/>
      <c r="G32" s="58"/>
    </row>
    <row r="33" spans="1:7" s="4" customFormat="1" x14ac:dyDescent="0.25">
      <c r="A33"/>
      <c r="B33"/>
      <c r="C33" s="7"/>
      <c r="D33"/>
      <c r="E33" s="58"/>
      <c r="F33" s="58"/>
      <c r="G33" s="58"/>
    </row>
    <row r="34" spans="1:7" s="4" customFormat="1" x14ac:dyDescent="0.25">
      <c r="A34"/>
      <c r="B34"/>
      <c r="C34" s="7"/>
      <c r="D34"/>
      <c r="E34" s="58"/>
      <c r="F34" s="58"/>
      <c r="G34" s="58"/>
    </row>
    <row r="35" spans="1:7" s="4" customFormat="1" x14ac:dyDescent="0.25">
      <c r="A35"/>
      <c r="B35"/>
      <c r="C35" s="7"/>
      <c r="D35"/>
      <c r="E35" s="58"/>
      <c r="F35" s="58"/>
      <c r="G35" s="58"/>
    </row>
  </sheetData>
  <autoFilter ref="A4:H28"/>
  <pageMargins left="0.25" right="0.25" top="0.5" bottom="0.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PS Funding Model</vt:lpstr>
      <vt:lpstr>Allowable Funds</vt:lpstr>
      <vt:lpstr>PS DATA3</vt:lpstr>
      <vt:lpstr>Sheet2</vt:lpstr>
      <vt:lpstr>PS DATA2 include some Apr 15 da</vt:lpstr>
      <vt:lpstr>PS Data</vt:lpstr>
      <vt:lpstr>VCAF PS Journal</vt:lpstr>
      <vt:lpstr>VCAF by Dept</vt:lpstr>
      <vt:lpstr>'PS Data'!Print_Titles</vt:lpstr>
      <vt:lpstr>'PS Funding Model'!Print_Titles</vt:lpstr>
      <vt:lpstr>'VCAF by Dept'!Print_Titles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A. Kresch</dc:creator>
  <cp:lastModifiedBy>Jean Bednarz</cp:lastModifiedBy>
  <cp:lastPrinted>2017-02-14T18:37:25Z</cp:lastPrinted>
  <dcterms:created xsi:type="dcterms:W3CDTF">2013-02-28T15:23:19Z</dcterms:created>
  <dcterms:modified xsi:type="dcterms:W3CDTF">2017-04-07T21:36:15Z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